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290" tabRatio="951" activeTab="2"/>
  </bookViews>
  <sheets>
    <sheet name="Tablas" sheetId="1" r:id="rId1"/>
    <sheet name="Datos del barco" sheetId="2" r:id="rId2"/>
    <sheet name="Cálculos" sheetId="3" r:id="rId3"/>
  </sheets>
  <definedNames>
    <definedName name="_xlnm.Print_Area" localSheetId="1">'Datos del barco'!$A$1:$I$19</definedName>
    <definedName name="_xlnm.Print_Area" localSheetId="0">'Tablas'!$A$1:$J$25</definedName>
  </definedNames>
  <calcPr fullCalcOnLoad="1"/>
</workbook>
</file>

<file path=xl/sharedStrings.xml><?xml version="1.0" encoding="utf-8"?>
<sst xmlns="http://schemas.openxmlformats.org/spreadsheetml/2006/main" count="110" uniqueCount="76">
  <si>
    <t>Fv (Kg)</t>
  </si>
  <si>
    <t>Vv (nudos)</t>
  </si>
  <si>
    <t>50</t>
  </si>
  <si>
    <t>40</t>
  </si>
  <si>
    <t>30</t>
  </si>
  <si>
    <t>60</t>
  </si>
  <si>
    <t>1,45</t>
  </si>
  <si>
    <t>2,25</t>
  </si>
  <si>
    <t>3,24</t>
  </si>
  <si>
    <t>0,82</t>
  </si>
  <si>
    <t>Peso (Kg/m)</t>
  </si>
  <si>
    <t>Diámetro (mm)</t>
  </si>
  <si>
    <t>Carga ruptura (Kg)</t>
  </si>
  <si>
    <t>Carga trabajo (Kg)</t>
  </si>
  <si>
    <t>(lbrs)</t>
  </si>
  <si>
    <t>(Kgrs)</t>
  </si>
  <si>
    <t>(pies)</t>
  </si>
  <si>
    <t>(m)</t>
  </si>
  <si>
    <t>Eslora</t>
  </si>
  <si>
    <t>Fuerza (15 nudos)</t>
  </si>
  <si>
    <t>Manga motor</t>
  </si>
  <si>
    <t>Manga vela</t>
  </si>
  <si>
    <t>10</t>
  </si>
  <si>
    <t>15</t>
  </si>
  <si>
    <t>20</t>
  </si>
  <si>
    <t>25</t>
  </si>
  <si>
    <t>35</t>
  </si>
  <si>
    <t>70</t>
  </si>
  <si>
    <t>80</t>
  </si>
  <si>
    <t>Carga de trabajo</t>
  </si>
  <si>
    <t>Kg/m</t>
  </si>
  <si>
    <t>Datos del barco</t>
  </si>
  <si>
    <t>Lc</t>
  </si>
  <si>
    <t>Cálculo por eslora</t>
  </si>
  <si>
    <t>Cálculo por manga</t>
  </si>
  <si>
    <t>Yate motor</t>
  </si>
  <si>
    <t>Velero</t>
  </si>
  <si>
    <t>Diámetro de cadena</t>
  </si>
  <si>
    <t>Velocidad de viento</t>
  </si>
  <si>
    <t>Kgr</t>
  </si>
  <si>
    <t>m</t>
  </si>
  <si>
    <t>nudos</t>
  </si>
  <si>
    <t>mm</t>
  </si>
  <si>
    <t>Peso unitario</t>
  </si>
  <si>
    <t>Carga de ruptura</t>
  </si>
  <si>
    <t>Altura de la roldana al agua</t>
  </si>
  <si>
    <t>CALCULOS DE FONDEO</t>
  </si>
  <si>
    <r>
      <t>Fv</t>
    </r>
    <r>
      <rPr>
        <sz val="10"/>
        <rFont val="Arial"/>
        <family val="2"/>
      </rPr>
      <t>, fuerza de viento</t>
    </r>
  </si>
  <si>
    <r>
      <t xml:space="preserve">Profundidad máxima para </t>
    </r>
    <r>
      <rPr>
        <b/>
        <sz val="10"/>
        <rFont val="Arial"/>
        <family val="2"/>
      </rPr>
      <t>Fv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Lc</t>
    </r>
  </si>
  <si>
    <r>
      <t xml:space="preserve">Tensión en roldana para </t>
    </r>
    <r>
      <rPr>
        <b/>
        <sz val="10"/>
        <rFont val="Arial"/>
        <family val="2"/>
      </rPr>
      <t>Fv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Lc</t>
    </r>
  </si>
  <si>
    <r>
      <t xml:space="preserve">Radio de borneo para </t>
    </r>
    <r>
      <rPr>
        <b/>
        <sz val="10"/>
        <rFont val="Arial"/>
        <family val="2"/>
      </rPr>
      <t>Fv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Fc</t>
    </r>
  </si>
  <si>
    <t>Fuerza ejercida por el viento para 15 nudos</t>
  </si>
  <si>
    <t>Fuerza en libras</t>
  </si>
  <si>
    <t>Fuerza en Kilogramos</t>
  </si>
  <si>
    <t>Datos de la cadena utilizada</t>
  </si>
  <si>
    <t>Valor de fuerza utilizado</t>
  </si>
  <si>
    <t>Tabla de datos de cadena</t>
  </si>
  <si>
    <t>Tabla de fuerzas de viento para 15 nudos (ABYC &amp; Earl Hinz)</t>
  </si>
  <si>
    <t>Tabla de cálculos interpolados</t>
  </si>
  <si>
    <t>Kg</t>
  </si>
  <si>
    <t>Lc/a</t>
  </si>
  <si>
    <t>m (a)</t>
  </si>
  <si>
    <t>Fa (Kg)</t>
  </si>
  <si>
    <t>Profundidad de fondeo</t>
  </si>
  <si>
    <r>
      <t xml:space="preserve">Velocidad de viento para </t>
    </r>
    <r>
      <rPr>
        <b/>
        <sz val="10"/>
        <rFont val="Arial"/>
        <family val="2"/>
      </rPr>
      <t>Fc</t>
    </r>
  </si>
  <si>
    <r>
      <t xml:space="preserve">Margen de retroceso para </t>
    </r>
    <r>
      <rPr>
        <b/>
        <sz val="10"/>
        <rFont val="Arial"/>
        <family val="2"/>
      </rPr>
      <t>Fv</t>
    </r>
    <r>
      <rPr>
        <sz val="10"/>
        <rFont val="Arial"/>
        <family val="2"/>
      </rPr>
      <t xml:space="preserve"> &gt; </t>
    </r>
    <r>
      <rPr>
        <b/>
        <sz val="10"/>
        <rFont val="Arial"/>
        <family val="2"/>
      </rPr>
      <t>Fc</t>
    </r>
  </si>
  <si>
    <t>Datos de profundidad y viento esperado</t>
  </si>
  <si>
    <t>Datos según longitud de cadena largada</t>
  </si>
  <si>
    <r>
      <t>:</t>
    </r>
    <r>
      <rPr>
        <sz val="10"/>
        <rFont val="Arial"/>
        <family val="2"/>
      </rPr>
      <t>1</t>
    </r>
  </si>
  <si>
    <r>
      <t xml:space="preserve">Long. de cadena a largar para </t>
    </r>
    <r>
      <rPr>
        <b/>
        <sz val="10"/>
        <rFont val="Arial"/>
        <family val="2"/>
      </rPr>
      <t>Fc = Fv</t>
    </r>
  </si>
  <si>
    <r>
      <t>Lc</t>
    </r>
    <r>
      <rPr>
        <sz val="10"/>
        <rFont val="Arial"/>
        <family val="2"/>
      </rPr>
      <t>, longitud de cadena largada</t>
    </r>
  </si>
  <si>
    <r>
      <t>©</t>
    </r>
    <r>
      <rPr>
        <sz val="10"/>
        <rFont val="Arial"/>
        <family val="2"/>
      </rPr>
      <t xml:space="preserve"> MasBarco para La Taberna del Puerto</t>
    </r>
  </si>
  <si>
    <r>
      <t>Fc</t>
    </r>
    <r>
      <rPr>
        <sz val="10"/>
        <rFont val="Arial"/>
        <family val="2"/>
      </rPr>
      <t xml:space="preserve">, fuerza para catenaria límite </t>
    </r>
    <r>
      <rPr>
        <b/>
        <sz val="10"/>
        <rFont val="Arial"/>
        <family val="2"/>
      </rPr>
      <t>Lc</t>
    </r>
  </si>
  <si>
    <t>escalas</t>
  </si>
  <si>
    <r>
      <t xml:space="preserve">Relación de fondeo, </t>
    </r>
    <r>
      <rPr>
        <b/>
        <sz val="10"/>
        <rFont val="Arial"/>
        <family val="2"/>
      </rPr>
      <t>Lc/a</t>
    </r>
  </si>
  <si>
    <r>
      <t>a</t>
    </r>
    <r>
      <rPr>
        <sz val="10"/>
        <rFont val="Arial"/>
        <family val="2"/>
      </rPr>
      <t>, altura total desde roldana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</si>
</sst>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  <numFmt numFmtId="166" formatCode="0.000"/>
    <numFmt numFmtId="167" formatCode="0.0"/>
    <numFmt numFmtId="168" formatCode="#,##0.0_ ;[Red]\-#,##0.0\ "/>
    <numFmt numFmtId="169" formatCode="0.00_ ;[Red]\-0.00\ "/>
    <numFmt numFmtId="170" formatCode="#,##0.000_ ;[Red]\-#,##0.000\ "/>
    <numFmt numFmtId="171" formatCode="#,##0.0000_ ;[Red]\-#,##0.0000\ "/>
    <numFmt numFmtId="172" formatCode="#,##0.00000_ ;[Red]\-#,##0.00000\ "/>
    <numFmt numFmtId="173" formatCode="#,##0.000000_ ;[Red]\-#,##0.000000\ "/>
    <numFmt numFmtId="174" formatCode="#,##0.0000000_ ;[Red]\-#,##0.0000000\ "/>
    <numFmt numFmtId="175" formatCode="0.00000"/>
    <numFmt numFmtId="176" formatCode="0.0000"/>
    <numFmt numFmtId="177" formatCode="0_ ;[Red]\-0\ "/>
    <numFmt numFmtId="178" formatCode="0.0_ ;[Red]\-0.0\ "/>
    <numFmt numFmtId="179" formatCode="0.0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75"/>
      <name val="Arial"/>
      <family val="2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177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3" xfId="0" applyNumberFormat="1" applyFont="1" applyFill="1" applyBorder="1" applyAlignment="1" applyProtection="1">
      <alignment horizontal="right"/>
      <protection hidden="1"/>
    </xf>
    <xf numFmtId="168" fontId="0" fillId="2" borderId="1" xfId="0" applyNumberFormat="1" applyFont="1" applyFill="1" applyBorder="1" applyAlignment="1" applyProtection="1">
      <alignment horizontal="center"/>
      <protection hidden="1" locked="0"/>
    </xf>
    <xf numFmtId="168" fontId="0" fillId="2" borderId="2" xfId="0" applyNumberFormat="1" applyFont="1" applyFill="1" applyBorder="1" applyAlignment="1" applyProtection="1">
      <alignment horizontal="center"/>
      <protection hidden="1" locked="0"/>
    </xf>
    <xf numFmtId="0" fontId="0" fillId="0" borderId="3" xfId="0" applyFill="1" applyBorder="1" applyAlignment="1" applyProtection="1">
      <alignment horizontal="right"/>
      <protection hidden="1"/>
    </xf>
    <xf numFmtId="165" fontId="0" fillId="3" borderId="1" xfId="0" applyNumberFormat="1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right"/>
      <protection hidden="1"/>
    </xf>
    <xf numFmtId="165" fontId="0" fillId="3" borderId="5" xfId="0" applyNumberFormat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left"/>
      <protection hidden="1"/>
    </xf>
    <xf numFmtId="49" fontId="0" fillId="0" borderId="2" xfId="0" applyNumberFormat="1" applyBorder="1" applyAlignment="1" applyProtection="1">
      <alignment/>
      <protection hidden="1"/>
    </xf>
    <xf numFmtId="164" fontId="0" fillId="0" borderId="3" xfId="0" applyNumberFormat="1" applyFont="1" applyFill="1" applyBorder="1" applyAlignment="1" applyProtection="1">
      <alignment horizontal="left"/>
      <protection hidden="1"/>
    </xf>
    <xf numFmtId="165" fontId="0" fillId="2" borderId="1" xfId="0" applyNumberFormat="1" applyFont="1" applyFill="1" applyBorder="1" applyAlignment="1" applyProtection="1">
      <alignment horizontal="center"/>
      <protection hidden="1" locked="0"/>
    </xf>
    <xf numFmtId="0" fontId="0" fillId="0" borderId="3" xfId="0" applyFont="1" applyFill="1" applyBorder="1" applyAlignment="1" applyProtection="1">
      <alignment horizontal="left"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left"/>
      <protection hidden="1"/>
    </xf>
    <xf numFmtId="0" fontId="0" fillId="0" borderId="6" xfId="0" applyFont="1" applyFill="1" applyBorder="1" applyAlignment="1" applyProtection="1">
      <alignment horizontal="left"/>
      <protection hidden="1"/>
    </xf>
    <xf numFmtId="49" fontId="0" fillId="0" borderId="7" xfId="0" applyNumberFormat="1" applyBorder="1" applyAlignment="1" applyProtection="1">
      <alignment/>
      <protection hidden="1"/>
    </xf>
    <xf numFmtId="2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0" fillId="0" borderId="1" xfId="0" applyNumberFormat="1" applyFont="1" applyFill="1" applyBorder="1" applyAlignment="1" applyProtection="1">
      <alignment horizontal="center"/>
      <protection hidden="1"/>
    </xf>
    <xf numFmtId="165" fontId="0" fillId="0" borderId="1" xfId="0" applyNumberFormat="1" applyFont="1" applyFill="1" applyBorder="1" applyAlignment="1" applyProtection="1">
      <alignment horizontal="center"/>
      <protection hidden="1"/>
    </xf>
    <xf numFmtId="49" fontId="0" fillId="0" borderId="8" xfId="0" applyNumberFormat="1" applyFont="1" applyBorder="1" applyAlignment="1" applyProtection="1">
      <alignment/>
      <protection hidden="1"/>
    </xf>
    <xf numFmtId="49" fontId="0" fillId="0" borderId="9" xfId="0" applyNumberFormat="1" applyFont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/>
      <protection hidden="1"/>
    </xf>
    <xf numFmtId="49" fontId="0" fillId="0" borderId="11" xfId="0" applyNumberFormat="1" applyFont="1" applyBorder="1" applyAlignment="1" applyProtection="1">
      <alignment/>
      <protection hidden="1"/>
    </xf>
    <xf numFmtId="49" fontId="0" fillId="0" borderId="8" xfId="0" applyNumberFormat="1" applyBorder="1" applyAlignment="1" applyProtection="1">
      <alignment/>
      <protection hidden="1"/>
    </xf>
    <xf numFmtId="49" fontId="0" fillId="0" borderId="12" xfId="0" applyNumberFormat="1" applyBorder="1" applyAlignment="1" applyProtection="1">
      <alignment/>
      <protection hidden="1"/>
    </xf>
    <xf numFmtId="49" fontId="1" fillId="0" borderId="9" xfId="0" applyNumberFormat="1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 applyProtection="1">
      <alignment horizontal="center"/>
      <protection hidden="1"/>
    </xf>
    <xf numFmtId="49" fontId="1" fillId="0" borderId="8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177" fontId="0" fillId="0" borderId="3" xfId="0" applyNumberFormat="1" applyFont="1" applyBorder="1" applyAlignment="1" applyProtection="1">
      <alignment horizontal="left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167" fontId="0" fillId="3" borderId="1" xfId="0" applyNumberFormat="1" applyFont="1" applyFill="1" applyBorder="1" applyAlignment="1" applyProtection="1">
      <alignment horizontal="right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177" fontId="1" fillId="0" borderId="3" xfId="0" applyNumberFormat="1" applyFont="1" applyBorder="1" applyAlignment="1" applyProtection="1">
      <alignment horizontal="left"/>
      <protection hidden="1"/>
    </xf>
    <xf numFmtId="165" fontId="0" fillId="3" borderId="1" xfId="0" applyNumberFormat="1" applyFont="1" applyFill="1" applyBorder="1" applyAlignment="1" applyProtection="1">
      <alignment horizontal="right"/>
      <protection hidden="1"/>
    </xf>
    <xf numFmtId="49" fontId="1" fillId="0" borderId="1" xfId="0" applyNumberFormat="1" applyFont="1" applyBorder="1" applyAlignment="1" applyProtection="1">
      <alignment/>
      <protection hidden="1"/>
    </xf>
    <xf numFmtId="177" fontId="1" fillId="0" borderId="1" xfId="0" applyNumberFormat="1" applyFont="1" applyBorder="1" applyAlignment="1" applyProtection="1">
      <alignment horizontal="left"/>
      <protection hidden="1"/>
    </xf>
    <xf numFmtId="49" fontId="0" fillId="0" borderId="3" xfId="0" applyNumberFormat="1" applyFont="1" applyBorder="1" applyAlignment="1" applyProtection="1">
      <alignment/>
      <protection hidden="1"/>
    </xf>
    <xf numFmtId="167" fontId="0" fillId="0" borderId="1" xfId="0" applyNumberFormat="1" applyFont="1" applyBorder="1" applyAlignment="1" applyProtection="1">
      <alignment horizontal="right"/>
      <protection hidden="1"/>
    </xf>
    <xf numFmtId="49" fontId="0" fillId="0" borderId="6" xfId="0" applyNumberFormat="1" applyFont="1" applyBorder="1" applyAlignment="1" applyProtection="1">
      <alignment/>
      <protection hidden="1"/>
    </xf>
    <xf numFmtId="167" fontId="0" fillId="0" borderId="5" xfId="0" applyNumberFormat="1" applyFont="1" applyBorder="1" applyAlignment="1" applyProtection="1">
      <alignment horizontal="right"/>
      <protection hidden="1"/>
    </xf>
    <xf numFmtId="49" fontId="0" fillId="0" borderId="5" xfId="0" applyNumberFormat="1" applyFont="1" applyBorder="1" applyAlignment="1" applyProtection="1">
      <alignment/>
      <protection hidden="1"/>
    </xf>
    <xf numFmtId="49" fontId="0" fillId="0" borderId="7" xfId="0" applyNumberFormat="1" applyFont="1" applyBorder="1" applyAlignment="1" applyProtection="1">
      <alignment/>
      <protection hidden="1"/>
    </xf>
    <xf numFmtId="167" fontId="0" fillId="4" borderId="1" xfId="0" applyNumberFormat="1" applyFont="1" applyFill="1" applyBorder="1" applyAlignment="1" applyProtection="1">
      <alignment horizontal="right"/>
      <protection hidden="1" locked="0"/>
    </xf>
    <xf numFmtId="0" fontId="0" fillId="0" borderId="8" xfId="0" applyBorder="1" applyAlignment="1" applyProtection="1">
      <alignment/>
      <protection hidden="1"/>
    </xf>
    <xf numFmtId="164" fontId="0" fillId="0" borderId="8" xfId="0" applyNumberFormat="1" applyFont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49" fontId="1" fillId="0" borderId="12" xfId="0" applyNumberFormat="1" applyFont="1" applyBorder="1" applyAlignment="1" applyProtection="1">
      <alignment horizontal="center"/>
      <protection hidden="1"/>
    </xf>
    <xf numFmtId="49" fontId="1" fillId="0" borderId="12" xfId="0" applyNumberFormat="1" applyFont="1" applyBorder="1" applyAlignment="1" applyProtection="1">
      <alignment/>
      <protection hidden="1"/>
    </xf>
    <xf numFmtId="165" fontId="0" fillId="0" borderId="12" xfId="0" applyNumberFormat="1" applyFont="1" applyFill="1" applyBorder="1" applyAlignment="1" applyProtection="1">
      <alignment horizontal="center"/>
      <protection hidden="1"/>
    </xf>
    <xf numFmtId="164" fontId="0" fillId="0" borderId="13" xfId="0" applyNumberFormat="1" applyFont="1" applyFill="1" applyBorder="1" applyAlignment="1" applyProtection="1">
      <alignment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49" fontId="1" fillId="0" borderId="6" xfId="0" applyNumberFormat="1" applyFont="1" applyBorder="1" applyAlignment="1" applyProtection="1">
      <alignment horizontal="center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/>
      <protection hidden="1"/>
    </xf>
    <xf numFmtId="177" fontId="0" fillId="0" borderId="8" xfId="0" applyNumberFormat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/>
      <protection hidden="1"/>
    </xf>
    <xf numFmtId="177" fontId="0" fillId="0" borderId="12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5" xfId="0" applyNumberFormat="1" applyFill="1" applyBorder="1" applyAlignment="1" applyProtection="1">
      <alignment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177" fontId="1" fillId="0" borderId="16" xfId="0" applyNumberFormat="1" applyFont="1" applyFill="1" applyBorder="1" applyAlignment="1" applyProtection="1">
      <alignment horizontal="center"/>
      <protection hidden="1"/>
    </xf>
    <xf numFmtId="177" fontId="0" fillId="0" borderId="16" xfId="0" applyNumberFormat="1" applyFont="1" applyFill="1" applyBorder="1" applyAlignment="1" applyProtection="1">
      <alignment horizontal="center"/>
      <protection hidden="1"/>
    </xf>
    <xf numFmtId="167" fontId="1" fillId="0" borderId="14" xfId="0" applyNumberFormat="1" applyFont="1" applyFill="1" applyBorder="1" applyAlignment="1" applyProtection="1">
      <alignment horizontal="center"/>
      <protection hidden="1"/>
    </xf>
    <xf numFmtId="177" fontId="0" fillId="0" borderId="17" xfId="0" applyNumberFormat="1" applyFont="1" applyFill="1" applyBorder="1" applyAlignment="1" applyProtection="1">
      <alignment horizontal="center"/>
      <protection hidden="1"/>
    </xf>
    <xf numFmtId="2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167" fontId="1" fillId="0" borderId="19" xfId="0" applyNumberFormat="1" applyFont="1" applyFill="1" applyBorder="1" applyAlignment="1" applyProtection="1">
      <alignment horizontal="center"/>
      <protection hidden="1"/>
    </xf>
    <xf numFmtId="165" fontId="1" fillId="0" borderId="14" xfId="0" applyNumberFormat="1" applyFont="1" applyFill="1" applyBorder="1" applyAlignment="1" applyProtection="1">
      <alignment horizontal="center"/>
      <protection hidden="1"/>
    </xf>
    <xf numFmtId="164" fontId="0" fillId="0" borderId="14" xfId="0" applyNumberFormat="1" applyFont="1" applyFill="1" applyBorder="1" applyAlignment="1" applyProtection="1">
      <alignment horizontal="center"/>
      <protection hidden="1"/>
    </xf>
    <xf numFmtId="165" fontId="0" fillId="0" borderId="14" xfId="0" applyNumberFormat="1" applyFont="1" applyFill="1" applyBorder="1" applyAlignment="1" applyProtection="1">
      <alignment horizontal="center"/>
      <protection hidden="1"/>
    </xf>
    <xf numFmtId="165" fontId="0" fillId="0" borderId="18" xfId="0" applyNumberFormat="1" applyFont="1" applyFill="1" applyBorder="1" applyAlignment="1" applyProtection="1">
      <alignment horizontal="center"/>
      <protection hidden="1"/>
    </xf>
    <xf numFmtId="165" fontId="0" fillId="0" borderId="19" xfId="0" applyNumberFormat="1" applyFont="1" applyFill="1" applyBorder="1" applyAlignment="1" applyProtection="1">
      <alignment horizontal="center"/>
      <protection hidden="1"/>
    </xf>
    <xf numFmtId="177" fontId="0" fillId="0" borderId="20" xfId="0" applyNumberFormat="1" applyFont="1" applyFill="1" applyBorder="1" applyAlignment="1" applyProtection="1">
      <alignment horizontal="center"/>
      <protection hidden="1"/>
    </xf>
    <xf numFmtId="2" fontId="0" fillId="0" borderId="20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167" fontId="1" fillId="0" borderId="20" xfId="0" applyNumberFormat="1" applyFont="1" applyFill="1" applyBorder="1" applyAlignment="1" applyProtection="1">
      <alignment horizontal="center"/>
      <protection hidden="1"/>
    </xf>
    <xf numFmtId="165" fontId="0" fillId="5" borderId="1" xfId="0" applyNumberFormat="1" applyFont="1" applyFill="1" applyBorder="1" applyAlignment="1" applyProtection="1">
      <alignment horizontal="center"/>
      <protection hidden="1"/>
    </xf>
    <xf numFmtId="165" fontId="0" fillId="5" borderId="2" xfId="0" applyNumberFormat="1" applyFont="1" applyFill="1" applyBorder="1" applyAlignment="1" applyProtection="1">
      <alignment horizontal="center"/>
      <protection hidden="1"/>
    </xf>
    <xf numFmtId="165" fontId="0" fillId="5" borderId="21" xfId="0" applyNumberFormat="1" applyFont="1" applyFill="1" applyBorder="1" applyAlignment="1" applyProtection="1">
      <alignment horizontal="center"/>
      <protection hidden="1"/>
    </xf>
    <xf numFmtId="165" fontId="0" fillId="5" borderId="5" xfId="0" applyNumberFormat="1" applyFont="1" applyFill="1" applyBorder="1" applyAlignment="1" applyProtection="1">
      <alignment horizontal="center"/>
      <protection hidden="1"/>
    </xf>
    <xf numFmtId="165" fontId="0" fillId="5" borderId="7" xfId="0" applyNumberFormat="1" applyFont="1" applyFill="1" applyBorder="1" applyAlignment="1" applyProtection="1">
      <alignment horizontal="center"/>
      <protection hidden="1"/>
    </xf>
    <xf numFmtId="2" fontId="0" fillId="3" borderId="5" xfId="0" applyNumberFormat="1" applyFont="1" applyFill="1" applyBorder="1" applyAlignment="1" applyProtection="1">
      <alignment/>
      <protection hidden="1"/>
    </xf>
    <xf numFmtId="164" fontId="1" fillId="0" borderId="20" xfId="0" applyNumberFormat="1" applyFont="1" applyFill="1" applyBorder="1" applyAlignment="1" applyProtection="1">
      <alignment horizontal="left"/>
      <protection hidden="1"/>
    </xf>
    <xf numFmtId="165" fontId="0" fillId="0" borderId="20" xfId="0" applyNumberFormat="1" applyFont="1" applyFill="1" applyBorder="1" applyAlignment="1" applyProtection="1">
      <alignment horizontal="center"/>
      <protection hidden="1"/>
    </xf>
    <xf numFmtId="178" fontId="0" fillId="2" borderId="1" xfId="0" applyNumberFormat="1" applyFill="1" applyBorder="1" applyAlignment="1" applyProtection="1">
      <alignment horizontal="center"/>
      <protection hidden="1" locked="0"/>
    </xf>
    <xf numFmtId="0" fontId="9" fillId="0" borderId="8" xfId="0" applyFont="1" applyFill="1" applyBorder="1" applyAlignment="1" applyProtection="1">
      <alignment/>
      <protection hidden="1"/>
    </xf>
    <xf numFmtId="177" fontId="10" fillId="0" borderId="8" xfId="0" applyNumberFormat="1" applyFont="1" applyFill="1" applyBorder="1" applyAlignment="1" applyProtection="1">
      <alignment horizontal="center"/>
      <protection hidden="1"/>
    </xf>
    <xf numFmtId="0" fontId="10" fillId="0" borderId="8" xfId="0" applyFont="1" applyFill="1" applyBorder="1" applyAlignment="1" applyProtection="1">
      <alignment horizontal="center"/>
      <protection hidden="1"/>
    </xf>
    <xf numFmtId="0" fontId="9" fillId="6" borderId="8" xfId="0" applyFont="1" applyFill="1" applyBorder="1" applyAlignment="1" applyProtection="1">
      <alignment/>
      <protection hidden="1"/>
    </xf>
    <xf numFmtId="177" fontId="9" fillId="6" borderId="8" xfId="0" applyNumberFormat="1" applyFont="1" applyFill="1" applyBorder="1" applyAlignment="1" applyProtection="1">
      <alignment horizontal="center"/>
      <protection hidden="1"/>
    </xf>
    <xf numFmtId="164" fontId="9" fillId="6" borderId="8" xfId="0" applyNumberFormat="1" applyFont="1" applyFill="1" applyBorder="1" applyAlignment="1" applyProtection="1">
      <alignment/>
      <protection hidden="1"/>
    </xf>
    <xf numFmtId="0" fontId="10" fillId="6" borderId="8" xfId="0" applyFont="1" applyFill="1" applyBorder="1" applyAlignment="1" applyProtection="1">
      <alignment horizontal="center"/>
      <protection hidden="1"/>
    </xf>
    <xf numFmtId="177" fontId="10" fillId="6" borderId="8" xfId="0" applyNumberFormat="1" applyFont="1" applyFill="1" applyBorder="1" applyAlignment="1" applyProtection="1">
      <alignment horizontal="center"/>
      <protection hidden="1"/>
    </xf>
    <xf numFmtId="178" fontId="10" fillId="6" borderId="8" xfId="0" applyNumberFormat="1" applyFont="1" applyFill="1" applyBorder="1" applyAlignment="1" applyProtection="1">
      <alignment/>
      <protection hidden="1"/>
    </xf>
    <xf numFmtId="164" fontId="10" fillId="6" borderId="8" xfId="0" applyNumberFormat="1" applyFont="1" applyFill="1" applyBorder="1" applyAlignment="1" applyProtection="1">
      <alignment horizontal="center"/>
      <protection hidden="1"/>
    </xf>
    <xf numFmtId="164" fontId="10" fillId="6" borderId="8" xfId="0" applyNumberFormat="1" applyFont="1" applyFill="1" applyBorder="1" applyAlignment="1" applyProtection="1">
      <alignment horizontal="left"/>
      <protection hidden="1"/>
    </xf>
    <xf numFmtId="164" fontId="10" fillId="6" borderId="8" xfId="0" applyNumberFormat="1" applyFont="1" applyFill="1" applyBorder="1" applyAlignment="1" applyProtection="1">
      <alignment/>
      <protection hidden="1"/>
    </xf>
    <xf numFmtId="0" fontId="9" fillId="6" borderId="8" xfId="0" applyFont="1" applyFill="1" applyBorder="1" applyAlignment="1" applyProtection="1">
      <alignment horizontal="center"/>
      <protection hidden="1"/>
    </xf>
    <xf numFmtId="178" fontId="10" fillId="6" borderId="8" xfId="0" applyNumberFormat="1" applyFont="1" applyFill="1" applyBorder="1" applyAlignment="1" applyProtection="1">
      <alignment horizontal="center"/>
      <protection hidden="1"/>
    </xf>
    <xf numFmtId="178" fontId="9" fillId="6" borderId="8" xfId="0" applyNumberFormat="1" applyFont="1" applyFill="1" applyBorder="1" applyAlignment="1" applyProtection="1">
      <alignment/>
      <protection hidden="1"/>
    </xf>
    <xf numFmtId="164" fontId="9" fillId="6" borderId="8" xfId="0" applyNumberFormat="1" applyFont="1" applyFill="1" applyBorder="1" applyAlignment="1" applyProtection="1">
      <alignment/>
      <protection hidden="1"/>
    </xf>
    <xf numFmtId="0" fontId="10" fillId="6" borderId="8" xfId="0" applyFont="1" applyFill="1" applyBorder="1" applyAlignment="1" applyProtection="1">
      <alignment/>
      <protection hidden="1"/>
    </xf>
    <xf numFmtId="177" fontId="0" fillId="0" borderId="8" xfId="0" applyNumberFormat="1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8" xfId="0" applyFont="1" applyFill="1" applyBorder="1" applyAlignment="1" applyProtection="1">
      <alignment/>
      <protection hidden="1"/>
    </xf>
    <xf numFmtId="177" fontId="9" fillId="0" borderId="8" xfId="0" applyNumberFormat="1" applyFont="1" applyFill="1" applyBorder="1" applyAlignment="1" applyProtection="1">
      <alignment horizontal="center"/>
      <protection hidden="1"/>
    </xf>
    <xf numFmtId="49" fontId="9" fillId="0" borderId="8" xfId="0" applyNumberFormat="1" applyFont="1" applyFill="1" applyBorder="1" applyAlignment="1" applyProtection="1">
      <alignment/>
      <protection hidden="1"/>
    </xf>
    <xf numFmtId="177" fontId="9" fillId="0" borderId="8" xfId="0" applyNumberFormat="1" applyFont="1" applyFill="1" applyBorder="1" applyAlignment="1" applyProtection="1">
      <alignment horizontal="left"/>
      <protection hidden="1"/>
    </xf>
    <xf numFmtId="177" fontId="10" fillId="0" borderId="8" xfId="0" applyNumberFormat="1" applyFont="1" applyFill="1" applyBorder="1" applyAlignment="1" applyProtection="1">
      <alignment/>
      <protection hidden="1"/>
    </xf>
    <xf numFmtId="177" fontId="10" fillId="0" borderId="8" xfId="0" applyNumberFormat="1" applyFont="1" applyFill="1" applyBorder="1" applyAlignment="1" applyProtection="1">
      <alignment horizontal="left"/>
      <protection hidden="1"/>
    </xf>
    <xf numFmtId="177" fontId="9" fillId="0" borderId="8" xfId="0" applyNumberFormat="1" applyFont="1" applyFill="1" applyBorder="1" applyAlignment="1" applyProtection="1">
      <alignment/>
      <protection hidden="1"/>
    </xf>
    <xf numFmtId="177" fontId="1" fillId="3" borderId="22" xfId="0" applyNumberFormat="1" applyFont="1" applyFill="1" applyBorder="1" applyAlignment="1" applyProtection="1">
      <alignment horizontal="center" vertical="center"/>
      <protection hidden="1"/>
    </xf>
    <xf numFmtId="177" fontId="1" fillId="3" borderId="23" xfId="0" applyNumberFormat="1" applyFont="1" applyFill="1" applyBorder="1" applyAlignment="1" applyProtection="1">
      <alignment horizontal="center" vertical="center"/>
      <protection hidden="1"/>
    </xf>
    <xf numFmtId="177" fontId="1" fillId="3" borderId="24" xfId="0" applyNumberFormat="1" applyFont="1" applyFill="1" applyBorder="1" applyAlignment="1" applyProtection="1">
      <alignment horizontal="center" vertical="center"/>
      <protection hidden="1"/>
    </xf>
    <xf numFmtId="177" fontId="10" fillId="6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164" fontId="1" fillId="0" borderId="16" xfId="0" applyNumberFormat="1" applyFont="1" applyFill="1" applyBorder="1" applyAlignment="1" applyProtection="1">
      <alignment horizontal="left"/>
      <protection hidden="1"/>
    </xf>
    <xf numFmtId="164" fontId="1" fillId="0" borderId="1" xfId="0" applyNumberFormat="1" applyFont="1" applyFill="1" applyBorder="1" applyAlignment="1" applyProtection="1">
      <alignment horizontal="left"/>
      <protection hidden="1"/>
    </xf>
    <xf numFmtId="49" fontId="10" fillId="6" borderId="8" xfId="0" applyNumberFormat="1" applyFont="1" applyFill="1" applyBorder="1" applyAlignment="1" applyProtection="1">
      <alignment horizontal="center"/>
      <protection hidden="1"/>
    </xf>
    <xf numFmtId="49" fontId="1" fillId="0" borderId="1" xfId="0" applyNumberFormat="1" applyFont="1" applyFill="1" applyBorder="1" applyAlignment="1" applyProtection="1">
      <alignment horizontal="center"/>
      <protection hidden="1"/>
    </xf>
    <xf numFmtId="49" fontId="1" fillId="0" borderId="16" xfId="0" applyNumberFormat="1" applyFont="1" applyFill="1" applyBorder="1" applyAlignment="1" applyProtection="1">
      <alignment horizontal="center"/>
      <protection hidden="1"/>
    </xf>
    <xf numFmtId="164" fontId="1" fillId="0" borderId="17" xfId="0" applyNumberFormat="1" applyFont="1" applyFill="1" applyBorder="1" applyAlignment="1" applyProtection="1">
      <alignment horizontal="left"/>
      <protection hidden="1"/>
    </xf>
    <xf numFmtId="164" fontId="1" fillId="0" borderId="18" xfId="0" applyNumberFormat="1" applyFont="1" applyFill="1" applyBorder="1" applyAlignment="1" applyProtection="1">
      <alignment horizontal="left"/>
      <protection hidden="1"/>
    </xf>
    <xf numFmtId="0" fontId="10" fillId="6" borderId="8" xfId="0" applyFont="1" applyFill="1" applyBorder="1" applyAlignment="1" applyProtection="1">
      <alignment horizontal="center"/>
      <protection hidden="1"/>
    </xf>
    <xf numFmtId="164" fontId="1" fillId="7" borderId="25" xfId="0" applyNumberFormat="1" applyFont="1" applyFill="1" applyBorder="1" applyAlignment="1" applyProtection="1">
      <alignment horizontal="center" vertical="center" wrapText="1"/>
      <protection hidden="1"/>
    </xf>
    <xf numFmtId="164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7" borderId="25" xfId="0" applyNumberFormat="1" applyFont="1" applyFill="1" applyBorder="1" applyAlignment="1" applyProtection="1">
      <alignment horizontal="center"/>
      <protection hidden="1"/>
    </xf>
    <xf numFmtId="49" fontId="1" fillId="7" borderId="26" xfId="0" applyNumberFormat="1" applyFont="1" applyFill="1" applyBorder="1" applyAlignment="1" applyProtection="1">
      <alignment horizontal="center"/>
      <protection hidden="1"/>
    </xf>
    <xf numFmtId="49" fontId="1" fillId="7" borderId="27" xfId="0" applyNumberFormat="1" applyFont="1" applyFill="1" applyBorder="1" applyAlignment="1" applyProtection="1">
      <alignment horizontal="center"/>
      <protection hidden="1"/>
    </xf>
    <xf numFmtId="49" fontId="1" fillId="0" borderId="26" xfId="0" applyNumberFormat="1" applyFont="1" applyBorder="1" applyAlignment="1" applyProtection="1">
      <alignment horizontal="center"/>
      <protection hidden="1"/>
    </xf>
    <xf numFmtId="49" fontId="1" fillId="0" borderId="27" xfId="0" applyNumberFormat="1" applyFont="1" applyBorder="1" applyAlignment="1" applyProtection="1">
      <alignment horizontal="center"/>
      <protection hidden="1"/>
    </xf>
    <xf numFmtId="49" fontId="1" fillId="0" borderId="26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177" fontId="1" fillId="0" borderId="3" xfId="0" applyNumberFormat="1" applyFont="1" applyBorder="1" applyAlignment="1" applyProtection="1">
      <alignment horizontal="center"/>
      <protection hidden="1"/>
    </xf>
    <xf numFmtId="177" fontId="1" fillId="0" borderId="1" xfId="0" applyNumberFormat="1" applyFont="1" applyBorder="1" applyAlignment="1" applyProtection="1">
      <alignment horizontal="center"/>
      <protection hidden="1"/>
    </xf>
    <xf numFmtId="177" fontId="1" fillId="0" borderId="2" xfId="0" applyNumberFormat="1" applyFont="1" applyBorder="1" applyAlignment="1" applyProtection="1">
      <alignment horizontal="center"/>
      <protection hidden="1"/>
    </xf>
    <xf numFmtId="177" fontId="1" fillId="7" borderId="25" xfId="0" applyNumberFormat="1" applyFont="1" applyFill="1" applyBorder="1" applyAlignment="1" applyProtection="1">
      <alignment horizontal="center" vertical="center"/>
      <protection hidden="1"/>
    </xf>
    <xf numFmtId="177" fontId="1" fillId="7" borderId="26" xfId="0" applyNumberFormat="1" applyFont="1" applyFill="1" applyBorder="1" applyAlignment="1" applyProtection="1">
      <alignment horizontal="center" vertical="center"/>
      <protection hidden="1"/>
    </xf>
    <xf numFmtId="177" fontId="1" fillId="7" borderId="27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Fuerza horizontal en ancla para L m. de cadena (catenaria límite)</a:t>
            </a:r>
          </a:p>
        </c:rich>
      </c:tx>
      <c:layout>
        <c:manualLayout>
          <c:xMode val="factor"/>
          <c:yMode val="factor"/>
          <c:x val="-0.15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1"/>
          <c:w val="0.95475"/>
          <c:h val="0.90825"/>
        </c:manualLayout>
      </c:layout>
      <c:lineChart>
        <c:grouping val="standard"/>
        <c:varyColors val="0"/>
        <c:ser>
          <c:idx val="0"/>
          <c:order val="0"/>
          <c:tx>
            <c:v>Fuerza para catenaria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Tablas!$D$46:$D$86</c:f>
              <c:numCache>
                <c:ptCount val="4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  <c:pt idx="37">
                  <c:v>82</c:v>
                </c:pt>
                <c:pt idx="38">
                  <c:v>84</c:v>
                </c:pt>
                <c:pt idx="39">
                  <c:v>86</c:v>
                </c:pt>
                <c:pt idx="40">
                  <c:v>88</c:v>
                </c:pt>
              </c:numCache>
            </c:numRef>
          </c:cat>
          <c:val>
            <c:numRef>
              <c:f>Tablas!$F$46:$F$86</c:f>
              <c:numCache>
                <c:ptCount val="41"/>
                <c:pt idx="0">
                  <c:v>0</c:v>
                </c:pt>
                <c:pt idx="1">
                  <c:v>5.0625</c:v>
                </c:pt>
                <c:pt idx="2">
                  <c:v>11.25</c:v>
                </c:pt>
                <c:pt idx="3">
                  <c:v>18.5625</c:v>
                </c:pt>
                <c:pt idx="4">
                  <c:v>27</c:v>
                </c:pt>
                <c:pt idx="5">
                  <c:v>36.5625</c:v>
                </c:pt>
                <c:pt idx="6">
                  <c:v>47.25</c:v>
                </c:pt>
                <c:pt idx="7">
                  <c:v>59.0625</c:v>
                </c:pt>
                <c:pt idx="8">
                  <c:v>72</c:v>
                </c:pt>
                <c:pt idx="9">
                  <c:v>86.0625</c:v>
                </c:pt>
                <c:pt idx="10">
                  <c:v>101.25</c:v>
                </c:pt>
                <c:pt idx="11">
                  <c:v>117.5625</c:v>
                </c:pt>
                <c:pt idx="12">
                  <c:v>135</c:v>
                </c:pt>
                <c:pt idx="13">
                  <c:v>153.5625</c:v>
                </c:pt>
                <c:pt idx="14">
                  <c:v>173.25</c:v>
                </c:pt>
                <c:pt idx="15">
                  <c:v>194.0625</c:v>
                </c:pt>
                <c:pt idx="16">
                  <c:v>216</c:v>
                </c:pt>
                <c:pt idx="17">
                  <c:v>239.0625</c:v>
                </c:pt>
                <c:pt idx="18">
                  <c:v>263.25</c:v>
                </c:pt>
                <c:pt idx="19">
                  <c:v>288.5625</c:v>
                </c:pt>
                <c:pt idx="20">
                  <c:v>315</c:v>
                </c:pt>
                <c:pt idx="21">
                  <c:v>342.5625</c:v>
                </c:pt>
                <c:pt idx="22">
                  <c:v>371.25</c:v>
                </c:pt>
                <c:pt idx="23">
                  <c:v>401.0625</c:v>
                </c:pt>
                <c:pt idx="24">
                  <c:v>432</c:v>
                </c:pt>
                <c:pt idx="25">
                  <c:v>464.0625</c:v>
                </c:pt>
                <c:pt idx="26">
                  <c:v>497.25</c:v>
                </c:pt>
                <c:pt idx="27">
                  <c:v>531.5625</c:v>
                </c:pt>
                <c:pt idx="28">
                  <c:v>567</c:v>
                </c:pt>
                <c:pt idx="29">
                  <c:v>603.5625</c:v>
                </c:pt>
                <c:pt idx="30">
                  <c:v>641.25</c:v>
                </c:pt>
                <c:pt idx="31">
                  <c:v>680.0625</c:v>
                </c:pt>
                <c:pt idx="32">
                  <c:v>720</c:v>
                </c:pt>
                <c:pt idx="33">
                  <c:v>761.0625</c:v>
                </c:pt>
                <c:pt idx="34">
                  <c:v>803.25</c:v>
                </c:pt>
                <c:pt idx="35">
                  <c:v>846.5625</c:v>
                </c:pt>
                <c:pt idx="36">
                  <c:v>891</c:v>
                </c:pt>
                <c:pt idx="37">
                  <c:v>936.5625</c:v>
                </c:pt>
                <c:pt idx="38">
                  <c:v>983.25</c:v>
                </c:pt>
                <c:pt idx="39">
                  <c:v>1031.0625</c:v>
                </c:pt>
                <c:pt idx="40">
                  <c:v>1080</c:v>
                </c:pt>
              </c:numCache>
            </c:numRef>
          </c:val>
          <c:smooth val="0"/>
        </c:ser>
        <c:ser>
          <c:idx val="2"/>
          <c:order val="2"/>
          <c:tx>
            <c:v>Fuerza del viento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Tablas!$D$46:$D$86</c:f>
              <c:numCache>
                <c:ptCount val="4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32</c:v>
                </c:pt>
                <c:pt idx="13">
                  <c:v>34</c:v>
                </c:pt>
                <c:pt idx="14">
                  <c:v>36</c:v>
                </c:pt>
                <c:pt idx="15">
                  <c:v>38</c:v>
                </c:pt>
                <c:pt idx="16">
                  <c:v>40</c:v>
                </c:pt>
                <c:pt idx="17">
                  <c:v>42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50</c:v>
                </c:pt>
                <c:pt idx="22">
                  <c:v>52</c:v>
                </c:pt>
                <c:pt idx="23">
                  <c:v>54</c:v>
                </c:pt>
                <c:pt idx="24">
                  <c:v>56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64</c:v>
                </c:pt>
                <c:pt idx="29">
                  <c:v>66</c:v>
                </c:pt>
                <c:pt idx="30">
                  <c:v>68</c:v>
                </c:pt>
                <c:pt idx="31">
                  <c:v>70</c:v>
                </c:pt>
                <c:pt idx="32">
                  <c:v>72</c:v>
                </c:pt>
                <c:pt idx="33">
                  <c:v>74</c:v>
                </c:pt>
                <c:pt idx="34">
                  <c:v>76</c:v>
                </c:pt>
                <c:pt idx="35">
                  <c:v>78</c:v>
                </c:pt>
                <c:pt idx="36">
                  <c:v>80</c:v>
                </c:pt>
                <c:pt idx="37">
                  <c:v>82</c:v>
                </c:pt>
                <c:pt idx="38">
                  <c:v>84</c:v>
                </c:pt>
                <c:pt idx="39">
                  <c:v>86</c:v>
                </c:pt>
                <c:pt idx="40">
                  <c:v>88</c:v>
                </c:pt>
              </c:numCache>
            </c:numRef>
          </c:cat>
          <c:val>
            <c:numRef>
              <c:f>Tablas!$C$46:$C$86</c:f>
              <c:numCache>
                <c:ptCount val="41"/>
                <c:pt idx="0">
                  <c:v>0</c:v>
                </c:pt>
                <c:pt idx="1">
                  <c:v>0.5240449306503354</c:v>
                </c:pt>
                <c:pt idx="2">
                  <c:v>2.0961797226013417</c:v>
                </c:pt>
                <c:pt idx="3">
                  <c:v>4.71640437585302</c:v>
                </c:pt>
                <c:pt idx="4">
                  <c:v>8.384718890405367</c:v>
                </c:pt>
                <c:pt idx="5">
                  <c:v>13.101123266258382</c:v>
                </c:pt>
                <c:pt idx="6">
                  <c:v>18.86561750341207</c:v>
                </c:pt>
                <c:pt idx="7">
                  <c:v>25.678201601866423</c:v>
                </c:pt>
                <c:pt idx="8">
                  <c:v>33.53887556162145</c:v>
                </c:pt>
                <c:pt idx="9">
                  <c:v>42.447639382677146</c:v>
                </c:pt>
                <c:pt idx="10">
                  <c:v>52.40449306503353</c:v>
                </c:pt>
                <c:pt idx="11">
                  <c:v>63.40943660869055</c:v>
                </c:pt>
                <c:pt idx="12">
                  <c:v>75.46247001364829</c:v>
                </c:pt>
                <c:pt idx="13">
                  <c:v>88.56359327990667</c:v>
                </c:pt>
                <c:pt idx="14">
                  <c:v>102.71280640746573</c:v>
                </c:pt>
                <c:pt idx="15">
                  <c:v>117.91010939632548</c:v>
                </c:pt>
                <c:pt idx="16">
                  <c:v>134.1555022464859</c:v>
                </c:pt>
                <c:pt idx="17">
                  <c:v>151.44898495794698</c:v>
                </c:pt>
                <c:pt idx="18">
                  <c:v>169.79055753070872</c:v>
                </c:pt>
                <c:pt idx="19">
                  <c:v>189.18021996477117</c:v>
                </c:pt>
                <c:pt idx="20">
                  <c:v>209.6179722601342</c:v>
                </c:pt>
                <c:pt idx="21">
                  <c:v>231.10381441679797</c:v>
                </c:pt>
                <c:pt idx="22">
                  <c:v>253.6377464347624</c:v>
                </c:pt>
                <c:pt idx="23">
                  <c:v>277.21976831402753</c:v>
                </c:pt>
                <c:pt idx="24">
                  <c:v>301.84988005459337</c:v>
                </c:pt>
                <c:pt idx="25">
                  <c:v>327.52808165645973</c:v>
                </c:pt>
                <c:pt idx="26">
                  <c:v>354.2543731196269</c:v>
                </c:pt>
                <c:pt idx="27">
                  <c:v>382.0287544440947</c:v>
                </c:pt>
                <c:pt idx="28">
                  <c:v>410.85122562986317</c:v>
                </c:pt>
                <c:pt idx="29">
                  <c:v>440.72178667693237</c:v>
                </c:pt>
                <c:pt idx="30">
                  <c:v>471.6404375853022</c:v>
                </c:pt>
                <c:pt idx="31">
                  <c:v>503.60717835497263</c:v>
                </c:pt>
                <c:pt idx="32">
                  <c:v>536.6220089859438</c:v>
                </c:pt>
                <c:pt idx="33">
                  <c:v>570.6849294782157</c:v>
                </c:pt>
                <c:pt idx="34">
                  <c:v>605.7959398317881</c:v>
                </c:pt>
                <c:pt idx="35">
                  <c:v>641.9550400466613</c:v>
                </c:pt>
                <c:pt idx="36">
                  <c:v>679.1622301228352</c:v>
                </c:pt>
                <c:pt idx="37">
                  <c:v>717.4175100603097</c:v>
                </c:pt>
                <c:pt idx="38">
                  <c:v>756.720879859085</c:v>
                </c:pt>
                <c:pt idx="39">
                  <c:v>797.0723395191608</c:v>
                </c:pt>
                <c:pt idx="40">
                  <c:v>838.4718890405371</c:v>
                </c:pt>
              </c:numCache>
            </c:numRef>
          </c:val>
          <c:smooth val="0"/>
        </c:ser>
        <c:marker val="1"/>
        <c:axId val="56140608"/>
        <c:axId val="35503425"/>
      </c:lineChart>
      <c:lineChart>
        <c:grouping val="standard"/>
        <c:varyColors val="0"/>
        <c:ser>
          <c:idx val="1"/>
          <c:order val="1"/>
          <c:tx>
            <c:v>© MasBarco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Tablas!$B$46:$B$86</c:f>
              <c:numCache>
                <c:ptCount val="4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</c:v>
                </c:pt>
                <c:pt idx="10">
                  <c:v>7.999999999999999</c:v>
                </c:pt>
                <c:pt idx="11">
                  <c:v>8.799999999999999</c:v>
                </c:pt>
                <c:pt idx="12">
                  <c:v>9.6</c:v>
                </c:pt>
                <c:pt idx="13">
                  <c:v>10.4</c:v>
                </c:pt>
                <c:pt idx="14">
                  <c:v>11.200000000000001</c:v>
                </c:pt>
                <c:pt idx="15">
                  <c:v>12.000000000000002</c:v>
                </c:pt>
                <c:pt idx="16">
                  <c:v>12.800000000000002</c:v>
                </c:pt>
                <c:pt idx="17">
                  <c:v>13.600000000000003</c:v>
                </c:pt>
                <c:pt idx="18">
                  <c:v>14.400000000000004</c:v>
                </c:pt>
                <c:pt idx="19">
                  <c:v>15.200000000000005</c:v>
                </c:pt>
                <c:pt idx="20">
                  <c:v>16.000000000000004</c:v>
                </c:pt>
                <c:pt idx="21">
                  <c:v>16.800000000000004</c:v>
                </c:pt>
                <c:pt idx="22">
                  <c:v>17.600000000000005</c:v>
                </c:pt>
                <c:pt idx="23">
                  <c:v>18.400000000000006</c:v>
                </c:pt>
                <c:pt idx="24">
                  <c:v>19.200000000000006</c:v>
                </c:pt>
                <c:pt idx="25">
                  <c:v>20.000000000000007</c:v>
                </c:pt>
                <c:pt idx="26">
                  <c:v>20.800000000000008</c:v>
                </c:pt>
                <c:pt idx="27">
                  <c:v>21.60000000000001</c:v>
                </c:pt>
                <c:pt idx="28">
                  <c:v>22.40000000000001</c:v>
                </c:pt>
                <c:pt idx="29">
                  <c:v>23.20000000000001</c:v>
                </c:pt>
                <c:pt idx="30">
                  <c:v>24.00000000000001</c:v>
                </c:pt>
                <c:pt idx="31">
                  <c:v>24.80000000000001</c:v>
                </c:pt>
                <c:pt idx="32">
                  <c:v>25.600000000000012</c:v>
                </c:pt>
                <c:pt idx="33">
                  <c:v>26.400000000000013</c:v>
                </c:pt>
                <c:pt idx="34">
                  <c:v>27.200000000000014</c:v>
                </c:pt>
                <c:pt idx="35">
                  <c:v>28.000000000000014</c:v>
                </c:pt>
                <c:pt idx="36">
                  <c:v>28.800000000000015</c:v>
                </c:pt>
                <c:pt idx="37">
                  <c:v>29.600000000000016</c:v>
                </c:pt>
                <c:pt idx="38">
                  <c:v>30.400000000000016</c:v>
                </c:pt>
                <c:pt idx="39">
                  <c:v>31.200000000000017</c:v>
                </c:pt>
                <c:pt idx="40">
                  <c:v>32.000000000000014</c:v>
                </c:pt>
              </c:numCache>
            </c:numRef>
          </c:cat>
          <c:val>
            <c:numRef>
              <c:f>Tablas!$B$46:$B$86</c:f>
              <c:numCache>
                <c:ptCount val="4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</c:v>
                </c:pt>
                <c:pt idx="10">
                  <c:v>7.999999999999999</c:v>
                </c:pt>
                <c:pt idx="11">
                  <c:v>8.799999999999999</c:v>
                </c:pt>
                <c:pt idx="12">
                  <c:v>9.6</c:v>
                </c:pt>
                <c:pt idx="13">
                  <c:v>10.4</c:v>
                </c:pt>
                <c:pt idx="14">
                  <c:v>11.200000000000001</c:v>
                </c:pt>
                <c:pt idx="15">
                  <c:v>12.000000000000002</c:v>
                </c:pt>
                <c:pt idx="16">
                  <c:v>12.800000000000002</c:v>
                </c:pt>
                <c:pt idx="17">
                  <c:v>13.600000000000003</c:v>
                </c:pt>
                <c:pt idx="18">
                  <c:v>14.400000000000004</c:v>
                </c:pt>
                <c:pt idx="19">
                  <c:v>15.200000000000005</c:v>
                </c:pt>
                <c:pt idx="20">
                  <c:v>16.000000000000004</c:v>
                </c:pt>
                <c:pt idx="21">
                  <c:v>16.800000000000004</c:v>
                </c:pt>
                <c:pt idx="22">
                  <c:v>17.600000000000005</c:v>
                </c:pt>
                <c:pt idx="23">
                  <c:v>18.400000000000006</c:v>
                </c:pt>
                <c:pt idx="24">
                  <c:v>19.200000000000006</c:v>
                </c:pt>
                <c:pt idx="25">
                  <c:v>20.000000000000007</c:v>
                </c:pt>
                <c:pt idx="26">
                  <c:v>20.800000000000008</c:v>
                </c:pt>
                <c:pt idx="27">
                  <c:v>21.60000000000001</c:v>
                </c:pt>
                <c:pt idx="28">
                  <c:v>22.40000000000001</c:v>
                </c:pt>
                <c:pt idx="29">
                  <c:v>23.20000000000001</c:v>
                </c:pt>
                <c:pt idx="30">
                  <c:v>24.00000000000001</c:v>
                </c:pt>
                <c:pt idx="31">
                  <c:v>24.80000000000001</c:v>
                </c:pt>
                <c:pt idx="32">
                  <c:v>25.600000000000012</c:v>
                </c:pt>
                <c:pt idx="33">
                  <c:v>26.400000000000013</c:v>
                </c:pt>
                <c:pt idx="34">
                  <c:v>27.200000000000014</c:v>
                </c:pt>
                <c:pt idx="35">
                  <c:v>28.000000000000014</c:v>
                </c:pt>
                <c:pt idx="36">
                  <c:v>28.800000000000015</c:v>
                </c:pt>
                <c:pt idx="37">
                  <c:v>29.600000000000016</c:v>
                </c:pt>
                <c:pt idx="38">
                  <c:v>30.400000000000016</c:v>
                </c:pt>
                <c:pt idx="39">
                  <c:v>31.200000000000017</c:v>
                </c:pt>
                <c:pt idx="40">
                  <c:v>32.000000000000014</c:v>
                </c:pt>
              </c:numCache>
            </c:numRef>
          </c:val>
          <c:smooth val="0"/>
        </c:ser>
        <c:marker val="1"/>
        <c:axId val="51095370"/>
        <c:axId val="57205147"/>
      </c:lineChart>
      <c:catAx>
        <c:axId val="56140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(m)</a:t>
                </a:r>
              </a:p>
            </c:rich>
          </c:tx>
          <c:layout>
            <c:manualLayout>
              <c:xMode val="factor"/>
              <c:yMode val="factor"/>
              <c:x val="0.01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none"/>
        <c:minorTickMark val="none"/>
        <c:tickLblPos val="nextTo"/>
        <c:crossAx val="35503425"/>
        <c:crosses val="autoZero"/>
        <c:auto val="1"/>
        <c:lblOffset val="100"/>
        <c:tickLblSkip val="5"/>
        <c:tickMarkSkip val="5"/>
        <c:noMultiLvlLbl val="0"/>
      </c:catAx>
      <c:valAx>
        <c:axId val="35503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625"/>
              <c:y val="-0.12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out"/>
        <c:minorTickMark val="out"/>
        <c:tickLblPos val="nextTo"/>
        <c:crossAx val="56140608"/>
        <c:crosses val="max"/>
        <c:crossBetween val="midCat"/>
        <c:dispUnits/>
      </c:valAx>
      <c:catAx>
        <c:axId val="51095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nudos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crossAx val="57205147"/>
        <c:crosses val="max"/>
        <c:auto val="1"/>
        <c:lblOffset val="100"/>
        <c:tickLblSkip val="5"/>
        <c:tickMarkSkip val="5"/>
        <c:noMultiLvlLbl val="0"/>
      </c:catAx>
      <c:valAx>
        <c:axId val="57205147"/>
        <c:scaling>
          <c:orientation val="minMax"/>
        </c:scaling>
        <c:axPos val="l"/>
        <c:delete val="1"/>
        <c:majorTickMark val="in"/>
        <c:minorTickMark val="none"/>
        <c:tickLblPos val="nextTo"/>
        <c:crossAx val="51095370"/>
        <c:crosses val="max"/>
        <c:crossBetween val="midCat"/>
        <c:dispUnits/>
      </c:valAx>
      <c:spPr>
        <a:gradFill rotWithShape="1">
          <a:gsLst>
            <a:gs pos="0">
              <a:srgbClr val="005E75"/>
            </a:gs>
            <a:gs pos="100000">
              <a:srgbClr val="00CC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4625"/>
          <c:y val="0.286"/>
          <c:w val="0.227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476250</xdr:colOff>
      <xdr:row>1</xdr:row>
      <xdr:rowOff>4514850</xdr:rowOff>
    </xdr:to>
    <xdr:graphicFrame>
      <xdr:nvGraphicFramePr>
        <xdr:cNvPr id="1" name="Chart 1"/>
        <xdr:cNvGraphicFramePr/>
      </xdr:nvGraphicFramePr>
      <xdr:xfrm>
        <a:off x="219075" y="161925"/>
        <a:ext cx="6677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J29" sqref="J29"/>
    </sheetView>
  </sheetViews>
  <sheetFormatPr defaultColWidth="9.140625" defaultRowHeight="12.75"/>
  <cols>
    <col min="1" max="1" width="4.140625" style="52" customWidth="1"/>
    <col min="2" max="2" width="11.8515625" style="67" bestFit="1" customWidth="1"/>
    <col min="3" max="3" width="7.421875" style="50" bestFit="1" customWidth="1"/>
    <col min="4" max="4" width="7.421875" style="50" customWidth="1"/>
    <col min="5" max="5" width="7.28125" style="50" bestFit="1" customWidth="1"/>
    <col min="6" max="6" width="7.421875" style="50" bestFit="1" customWidth="1"/>
    <col min="7" max="7" width="7.28125" style="50" bestFit="1" customWidth="1"/>
    <col min="8" max="8" width="7.421875" style="50" bestFit="1" customWidth="1"/>
    <col min="9" max="9" width="10.8515625" style="50" customWidth="1"/>
    <col min="10" max="16384" width="9.140625" style="52" customWidth="1"/>
  </cols>
  <sheetData>
    <row r="1" spans="2:9" ht="13.5" thickBot="1">
      <c r="B1" s="69"/>
      <c r="C1" s="70"/>
      <c r="D1" s="70"/>
      <c r="E1" s="70"/>
      <c r="F1" s="70"/>
      <c r="G1" s="70"/>
      <c r="H1" s="70"/>
      <c r="I1" s="70"/>
    </row>
    <row r="2" spans="1:9" ht="18" customHeight="1" thickTop="1">
      <c r="A2" s="68"/>
      <c r="B2" s="127" t="s">
        <v>57</v>
      </c>
      <c r="C2" s="128"/>
      <c r="D2" s="128"/>
      <c r="E2" s="128"/>
      <c r="F2" s="128"/>
      <c r="G2" s="128"/>
      <c r="H2" s="128"/>
      <c r="I2" s="129"/>
    </row>
    <row r="3" spans="1:9" ht="12.75">
      <c r="A3" s="68"/>
      <c r="B3" s="137" t="s">
        <v>18</v>
      </c>
      <c r="C3" s="136"/>
      <c r="D3" s="136" t="s">
        <v>20</v>
      </c>
      <c r="E3" s="136"/>
      <c r="F3" s="131" t="s">
        <v>21</v>
      </c>
      <c r="G3" s="131"/>
      <c r="H3" s="131" t="s">
        <v>19</v>
      </c>
      <c r="I3" s="132"/>
    </row>
    <row r="4" spans="1:9" ht="12.75">
      <c r="A4" s="68"/>
      <c r="B4" s="74" t="s">
        <v>16</v>
      </c>
      <c r="C4" s="1" t="s">
        <v>17</v>
      </c>
      <c r="D4" s="1" t="s">
        <v>16</v>
      </c>
      <c r="E4" s="1" t="s">
        <v>17</v>
      </c>
      <c r="F4" s="1" t="s">
        <v>16</v>
      </c>
      <c r="G4" s="1" t="s">
        <v>17</v>
      </c>
      <c r="H4" s="1" t="s">
        <v>14</v>
      </c>
      <c r="I4" s="63" t="s">
        <v>15</v>
      </c>
    </row>
    <row r="5" spans="1:9" ht="12.75">
      <c r="A5" s="68"/>
      <c r="B5" s="75" t="s">
        <v>22</v>
      </c>
      <c r="C5" s="20">
        <f aca="true" t="shared" si="0" ref="C5:C15">B5*0.3048</f>
        <v>3.048</v>
      </c>
      <c r="D5" s="21">
        <v>5</v>
      </c>
      <c r="E5" s="20">
        <f aca="true" t="shared" si="1" ref="E5:E15">D5*0.3048</f>
        <v>1.524</v>
      </c>
      <c r="F5" s="21">
        <v>4</v>
      </c>
      <c r="G5" s="20">
        <f aca="true" t="shared" si="2" ref="G5:G15">F5*0.3048</f>
        <v>1.2192</v>
      </c>
      <c r="H5" s="1">
        <v>40</v>
      </c>
      <c r="I5" s="76">
        <f aca="true" t="shared" si="3" ref="I5:I15">H5*0.453592</f>
        <v>18.14368</v>
      </c>
    </row>
    <row r="6" spans="1:9" ht="12.75">
      <c r="A6" s="68"/>
      <c r="B6" s="75" t="s">
        <v>23</v>
      </c>
      <c r="C6" s="20">
        <f t="shared" si="0"/>
        <v>4.572</v>
      </c>
      <c r="D6" s="21">
        <v>6</v>
      </c>
      <c r="E6" s="20">
        <f t="shared" si="1"/>
        <v>1.8288000000000002</v>
      </c>
      <c r="F6" s="21">
        <v>5</v>
      </c>
      <c r="G6" s="20">
        <f t="shared" si="2"/>
        <v>1.524</v>
      </c>
      <c r="H6" s="1">
        <v>60</v>
      </c>
      <c r="I6" s="76">
        <f t="shared" si="3"/>
        <v>27.215519999999998</v>
      </c>
    </row>
    <row r="7" spans="1:9" ht="12.75">
      <c r="A7" s="68"/>
      <c r="B7" s="75" t="s">
        <v>24</v>
      </c>
      <c r="C7" s="20">
        <f t="shared" si="0"/>
        <v>6.096</v>
      </c>
      <c r="D7" s="21">
        <v>8</v>
      </c>
      <c r="E7" s="20">
        <f t="shared" si="1"/>
        <v>2.4384</v>
      </c>
      <c r="F7" s="21">
        <v>7</v>
      </c>
      <c r="G7" s="20">
        <f t="shared" si="2"/>
        <v>2.1336</v>
      </c>
      <c r="H7" s="1">
        <v>90</v>
      </c>
      <c r="I7" s="76">
        <f t="shared" si="3"/>
        <v>40.82328</v>
      </c>
    </row>
    <row r="8" spans="1:9" ht="12.75">
      <c r="A8" s="68"/>
      <c r="B8" s="75" t="s">
        <v>25</v>
      </c>
      <c r="C8" s="20">
        <f t="shared" si="0"/>
        <v>7.62</v>
      </c>
      <c r="D8" s="21">
        <v>9</v>
      </c>
      <c r="E8" s="20">
        <f t="shared" si="1"/>
        <v>2.7432000000000003</v>
      </c>
      <c r="F8" s="21">
        <v>8</v>
      </c>
      <c r="G8" s="20">
        <f t="shared" si="2"/>
        <v>2.4384</v>
      </c>
      <c r="H8" s="1">
        <v>125</v>
      </c>
      <c r="I8" s="76">
        <f t="shared" si="3"/>
        <v>56.699</v>
      </c>
    </row>
    <row r="9" spans="1:9" ht="12.75">
      <c r="A9" s="68"/>
      <c r="B9" s="75" t="s">
        <v>4</v>
      </c>
      <c r="C9" s="20">
        <f t="shared" si="0"/>
        <v>9.144</v>
      </c>
      <c r="D9" s="21">
        <v>11</v>
      </c>
      <c r="E9" s="20">
        <f t="shared" si="1"/>
        <v>3.3528000000000002</v>
      </c>
      <c r="F9" s="21">
        <v>9</v>
      </c>
      <c r="G9" s="20">
        <f t="shared" si="2"/>
        <v>2.7432000000000003</v>
      </c>
      <c r="H9" s="1">
        <v>175</v>
      </c>
      <c r="I9" s="76">
        <f t="shared" si="3"/>
        <v>79.3786</v>
      </c>
    </row>
    <row r="10" spans="1:9" ht="12.75">
      <c r="A10" s="68"/>
      <c r="B10" s="75" t="s">
        <v>26</v>
      </c>
      <c r="C10" s="20">
        <f t="shared" si="0"/>
        <v>10.668000000000001</v>
      </c>
      <c r="D10" s="21">
        <v>13</v>
      </c>
      <c r="E10" s="20">
        <f t="shared" si="1"/>
        <v>3.9624</v>
      </c>
      <c r="F10" s="21">
        <v>10</v>
      </c>
      <c r="G10" s="20">
        <f t="shared" si="2"/>
        <v>3.048</v>
      </c>
      <c r="H10" s="1">
        <v>225</v>
      </c>
      <c r="I10" s="76">
        <f t="shared" si="3"/>
        <v>102.0582</v>
      </c>
    </row>
    <row r="11" spans="1:9" ht="12.75">
      <c r="A11" s="68"/>
      <c r="B11" s="75" t="s">
        <v>3</v>
      </c>
      <c r="C11" s="20">
        <f t="shared" si="0"/>
        <v>12.192</v>
      </c>
      <c r="D11" s="21">
        <v>14</v>
      </c>
      <c r="E11" s="20">
        <f t="shared" si="1"/>
        <v>4.2672</v>
      </c>
      <c r="F11" s="21">
        <v>11</v>
      </c>
      <c r="G11" s="20">
        <f t="shared" si="2"/>
        <v>3.3528000000000002</v>
      </c>
      <c r="H11" s="1">
        <v>300</v>
      </c>
      <c r="I11" s="76">
        <f t="shared" si="3"/>
        <v>136.0776</v>
      </c>
    </row>
    <row r="12" spans="1:9" ht="12.75">
      <c r="A12" s="68"/>
      <c r="B12" s="75" t="s">
        <v>2</v>
      </c>
      <c r="C12" s="20">
        <f t="shared" si="0"/>
        <v>15.24</v>
      </c>
      <c r="D12" s="21">
        <v>16</v>
      </c>
      <c r="E12" s="20">
        <f t="shared" si="1"/>
        <v>4.8768</v>
      </c>
      <c r="F12" s="21">
        <v>13</v>
      </c>
      <c r="G12" s="20">
        <f t="shared" si="2"/>
        <v>3.9624</v>
      </c>
      <c r="H12" s="1">
        <v>400</v>
      </c>
      <c r="I12" s="76">
        <f t="shared" si="3"/>
        <v>181.4368</v>
      </c>
    </row>
    <row r="13" spans="1:9" ht="12.75">
      <c r="A13" s="68"/>
      <c r="B13" s="75" t="s">
        <v>5</v>
      </c>
      <c r="C13" s="20">
        <f t="shared" si="0"/>
        <v>18.288</v>
      </c>
      <c r="D13" s="21">
        <v>18</v>
      </c>
      <c r="E13" s="20">
        <f t="shared" si="1"/>
        <v>5.486400000000001</v>
      </c>
      <c r="F13" s="21">
        <v>15</v>
      </c>
      <c r="G13" s="20">
        <f t="shared" si="2"/>
        <v>4.572</v>
      </c>
      <c r="H13" s="1">
        <v>500</v>
      </c>
      <c r="I13" s="76">
        <f t="shared" si="3"/>
        <v>226.796</v>
      </c>
    </row>
    <row r="14" spans="1:9" ht="12.75">
      <c r="A14" s="68"/>
      <c r="B14" s="75" t="s">
        <v>27</v>
      </c>
      <c r="C14" s="20">
        <f t="shared" si="0"/>
        <v>21.336000000000002</v>
      </c>
      <c r="D14" s="21">
        <v>20</v>
      </c>
      <c r="E14" s="20">
        <f t="shared" si="1"/>
        <v>6.096</v>
      </c>
      <c r="F14" s="21">
        <v>17</v>
      </c>
      <c r="G14" s="20">
        <f t="shared" si="2"/>
        <v>5.1816</v>
      </c>
      <c r="H14" s="1">
        <v>675</v>
      </c>
      <c r="I14" s="76">
        <f t="shared" si="3"/>
        <v>306.1746</v>
      </c>
    </row>
    <row r="15" spans="1:9" ht="13.5" thickBot="1">
      <c r="A15" s="68"/>
      <c r="B15" s="77" t="s">
        <v>28</v>
      </c>
      <c r="C15" s="78">
        <f t="shared" si="0"/>
        <v>24.384</v>
      </c>
      <c r="D15" s="79">
        <v>22</v>
      </c>
      <c r="E15" s="78">
        <f t="shared" si="1"/>
        <v>6.7056000000000004</v>
      </c>
      <c r="F15" s="79">
        <v>19</v>
      </c>
      <c r="G15" s="78">
        <f t="shared" si="2"/>
        <v>5.7912</v>
      </c>
      <c r="H15" s="80">
        <v>900</v>
      </c>
      <c r="I15" s="81">
        <f t="shared" si="3"/>
        <v>408.2328</v>
      </c>
    </row>
    <row r="16" spans="1:9" ht="13.5" thickTop="1">
      <c r="A16" s="68"/>
      <c r="B16" s="87"/>
      <c r="C16" s="88"/>
      <c r="D16" s="89"/>
      <c r="E16" s="88"/>
      <c r="F16" s="89"/>
      <c r="G16" s="88"/>
      <c r="H16" s="90"/>
      <c r="I16" s="91"/>
    </row>
    <row r="17" spans="2:8" ht="13.5" thickBot="1">
      <c r="B17" s="71"/>
      <c r="C17" s="71"/>
      <c r="D17" s="71"/>
      <c r="E17" s="71"/>
      <c r="F17" s="71"/>
      <c r="G17" s="71"/>
      <c r="H17" s="70"/>
    </row>
    <row r="18" spans="1:9" ht="18" customHeight="1" thickTop="1">
      <c r="A18" s="68"/>
      <c r="B18" s="127" t="s">
        <v>56</v>
      </c>
      <c r="C18" s="128"/>
      <c r="D18" s="128"/>
      <c r="E18" s="128"/>
      <c r="F18" s="128"/>
      <c r="G18" s="128"/>
      <c r="H18" s="129"/>
      <c r="I18" s="54"/>
    </row>
    <row r="19" spans="1:9" ht="12.75">
      <c r="A19" s="68"/>
      <c r="B19" s="133" t="s">
        <v>11</v>
      </c>
      <c r="C19" s="134"/>
      <c r="D19" s="22">
        <v>6</v>
      </c>
      <c r="E19" s="22">
        <v>8</v>
      </c>
      <c r="F19" s="22">
        <v>10</v>
      </c>
      <c r="G19" s="22">
        <v>12</v>
      </c>
      <c r="H19" s="82">
        <v>14</v>
      </c>
      <c r="I19" s="54"/>
    </row>
    <row r="20" spans="1:9" ht="12.75">
      <c r="A20" s="68"/>
      <c r="B20" s="133" t="s">
        <v>10</v>
      </c>
      <c r="C20" s="134"/>
      <c r="D20" s="23" t="s">
        <v>9</v>
      </c>
      <c r="E20" s="23" t="s">
        <v>6</v>
      </c>
      <c r="F20" s="23" t="s">
        <v>7</v>
      </c>
      <c r="G20" s="23" t="s">
        <v>8</v>
      </c>
      <c r="H20" s="83">
        <v>4.4</v>
      </c>
      <c r="I20" s="54"/>
    </row>
    <row r="21" spans="1:9" ht="12.75">
      <c r="A21" s="68"/>
      <c r="B21" s="133" t="s">
        <v>12</v>
      </c>
      <c r="C21" s="134"/>
      <c r="D21" s="24">
        <v>1800</v>
      </c>
      <c r="E21" s="24">
        <v>3200</v>
      </c>
      <c r="F21" s="24">
        <v>5000</v>
      </c>
      <c r="G21" s="24">
        <v>7100</v>
      </c>
      <c r="H21" s="84">
        <v>7600</v>
      </c>
      <c r="I21" s="54"/>
    </row>
    <row r="22" spans="1:9" ht="13.5" thickBot="1">
      <c r="A22" s="68"/>
      <c r="B22" s="138" t="s">
        <v>13</v>
      </c>
      <c r="C22" s="139"/>
      <c r="D22" s="85">
        <f>D21/4</f>
        <v>450</v>
      </c>
      <c r="E22" s="85">
        <f>E21/4</f>
        <v>800</v>
      </c>
      <c r="F22" s="85">
        <f>F21/4</f>
        <v>1250</v>
      </c>
      <c r="G22" s="85">
        <f>G21/4</f>
        <v>1775</v>
      </c>
      <c r="H22" s="86">
        <f>H21/4</f>
        <v>1900</v>
      </c>
      <c r="I22" s="54"/>
    </row>
    <row r="23" spans="1:9" ht="13.5" thickTop="1">
      <c r="A23" s="68"/>
      <c r="B23" s="98"/>
      <c r="C23" s="98"/>
      <c r="D23" s="99"/>
      <c r="E23" s="99"/>
      <c r="F23" s="99"/>
      <c r="G23" s="99"/>
      <c r="H23" s="99"/>
      <c r="I23" s="54"/>
    </row>
    <row r="24" spans="2:8" ht="12.75">
      <c r="B24" s="29" t="s">
        <v>71</v>
      </c>
      <c r="C24" s="72"/>
      <c r="D24" s="72"/>
      <c r="E24" s="72"/>
      <c r="F24" s="72"/>
      <c r="G24" s="72"/>
      <c r="H24" s="73"/>
    </row>
    <row r="25" s="104" customFormat="1" ht="12.75">
      <c r="B25" s="105"/>
    </row>
    <row r="26" spans="2:7" s="104" customFormat="1" ht="18" customHeight="1">
      <c r="B26" s="130" t="s">
        <v>58</v>
      </c>
      <c r="C26" s="130"/>
      <c r="D26" s="130"/>
      <c r="E26" s="130"/>
      <c r="F26" s="130"/>
      <c r="G26" s="130"/>
    </row>
    <row r="27" spans="2:7" s="104" customFormat="1" ht="12.75">
      <c r="B27" s="135" t="s">
        <v>18</v>
      </c>
      <c r="C27" s="135"/>
      <c r="D27" s="135" t="s">
        <v>20</v>
      </c>
      <c r="E27" s="135"/>
      <c r="F27" s="140" t="s">
        <v>21</v>
      </c>
      <c r="G27" s="140"/>
    </row>
    <row r="28" spans="2:7" s="104" customFormat="1" ht="12.75">
      <c r="B28" s="108" t="s">
        <v>16</v>
      </c>
      <c r="C28" s="107" t="s">
        <v>17</v>
      </c>
      <c r="D28" s="107" t="s">
        <v>16</v>
      </c>
      <c r="E28" s="107" t="s">
        <v>17</v>
      </c>
      <c r="F28" s="107" t="s">
        <v>16</v>
      </c>
      <c r="G28" s="107" t="s">
        <v>17</v>
      </c>
    </row>
    <row r="29" spans="2:7" s="104" customFormat="1" ht="12.75">
      <c r="B29" s="106"/>
      <c r="C29" s="106"/>
      <c r="D29" s="106"/>
      <c r="E29" s="106"/>
      <c r="F29" s="106"/>
      <c r="G29" s="106"/>
    </row>
    <row r="30" spans="2:7" s="104" customFormat="1" ht="12.75">
      <c r="B30" s="106">
        <f>IF(AND('Datos del barco'!C$5-B6&lt;=0,'Datos del barco'!C$5-B5&gt;=0),IF('Datos del barco'!C$5=B6,$H6,$H5+('Datos del barco'!C$5-B5)/(B6-B5)*($H6-$H5)),0)</f>
        <v>0</v>
      </c>
      <c r="C30" s="106">
        <f>IF(AND('Datos del barco'!D$5-C6&lt;=0,'Datos del barco'!D$5-C5&gt;=0),IF('Datos del barco'!D$5=C6,$H6,$H5+('Datos del barco'!D$5-C5)/(C6-C5)*($H6-$H5)),0)</f>
        <v>0</v>
      </c>
      <c r="D30" s="106">
        <f>IF(AND('Datos del barco'!E$5-D6&lt;=0,'Datos del barco'!E$5-D5&gt;=0),IF('Datos del barco'!E$5=D6,$H6,$H5+('Datos del barco'!E$5-D5)/(D6-D5)*($H6-$H5)),0)</f>
        <v>0</v>
      </c>
      <c r="E30" s="106">
        <f>IF(AND('Datos del barco'!F$5-E6&lt;=0,'Datos del barco'!F$5-E5&gt;=0),IF('Datos del barco'!F$5=E6,$H6,$H5+('Datos del barco'!F$5-E5)/(E6-E5)*($H6-$H5)),0)</f>
        <v>0</v>
      </c>
      <c r="F30" s="106">
        <f>IF(AND('Datos del barco'!G$5-F6&lt;=0,'Datos del barco'!G$5-F5&gt;=0),IF('Datos del barco'!G$5=F6,$H6,$H5+('Datos del barco'!G$5-F5)/(F6-F5)*($H6-$H5)),0)</f>
        <v>0</v>
      </c>
      <c r="G30" s="106">
        <f>IF(AND('Datos del barco'!H$5-G6&lt;=0,'Datos del barco'!H$5-G5&gt;=0),IF('Datos del barco'!H$5=G6,$H6,$H5+('Datos del barco'!H$5-G5)/(G6-G5)*($H6-$H5)),0)</f>
        <v>0</v>
      </c>
    </row>
    <row r="31" spans="2:7" s="104" customFormat="1" ht="12.75">
      <c r="B31" s="106">
        <f>IF(AND('Datos del barco'!C$5-B7&lt;=0,'Datos del barco'!C$5-B6&gt;0),IF('Datos del barco'!C$5=B7,$H7,$H6+('Datos del barco'!C$5-B6)/(B7-B6)*($H7-$H6)),0)</f>
        <v>0</v>
      </c>
      <c r="C31" s="106">
        <f>IF(AND('Datos del barco'!D$5-C7&lt;=0,'Datos del barco'!D$5-C6&gt;0),IF('Datos del barco'!D$5=C7,$H7,$H6+('Datos del barco'!D$5-C6)/(C7-C6)*($H7-$H6)),0)</f>
        <v>0</v>
      </c>
      <c r="D31" s="106">
        <f>IF(AND('Datos del barco'!E$5-D7&lt;=0,'Datos del barco'!E$5-D6&gt;0),IF('Datos del barco'!E$5=D7,$H7,$H6+('Datos del barco'!E$5-D6)/(D7-D6)*($H7-$H6)),0)</f>
        <v>0</v>
      </c>
      <c r="E31" s="106">
        <f>IF(AND('Datos del barco'!F$5-E7&lt;=0,'Datos del barco'!F$5-E6&gt;0),IF('Datos del barco'!F$5=E7,$H7,$H6+('Datos del barco'!F$5-E6)/(E7-E6)*($H7-$H6)),0)</f>
        <v>0</v>
      </c>
      <c r="F31" s="106">
        <f>IF(AND('Datos del barco'!G$5-F7&lt;=0,'Datos del barco'!G$5-F6&gt;0),IF('Datos del barco'!G$5=F7,$H7,$H6+('Datos del barco'!G$5-F6)/(F7-F6)*($H7-$H6)),0)</f>
        <v>0</v>
      </c>
      <c r="G31" s="106">
        <f>IF(AND('Datos del barco'!H$5-G7&lt;=0,'Datos del barco'!H$5-G6&gt;0),IF('Datos del barco'!H$5=G7,$H7,$H6+('Datos del barco'!H$5-G6)/(G7-G6)*($H7-$H6)),0)</f>
        <v>0</v>
      </c>
    </row>
    <row r="32" spans="2:7" s="104" customFormat="1" ht="12.75">
      <c r="B32" s="106">
        <f>IF(AND('Datos del barco'!C$5-B8&lt;=0,'Datos del barco'!C$5-B7&gt;0),IF('Datos del barco'!C$5=B8,$H8,$H7+('Datos del barco'!C$5-B7)/(B8-B7)*($H8-$H7)),0)</f>
        <v>0</v>
      </c>
      <c r="C32" s="106">
        <f>IF(AND('Datos del barco'!D$5-C8&lt;=0,'Datos del barco'!D$5-C7&gt;0),IF('Datos del barco'!D$5=C8,$H8,$H7+('Datos del barco'!D$5-C7)/(C8-C7)*($H8-$H7)),0)</f>
        <v>0</v>
      </c>
      <c r="D32" s="106">
        <f>IF(AND('Datos del barco'!E$5-D8&lt;=0,'Datos del barco'!E$5-D7&gt;0),IF('Datos del barco'!E$5=D8,$H8,$H7+('Datos del barco'!E$5-D7)/(D8-D7)*($H8-$H7)),0)</f>
        <v>0</v>
      </c>
      <c r="E32" s="106">
        <f>IF(AND('Datos del barco'!F$5-E8&lt;=0,'Datos del barco'!F$5-E7&gt;0),IF('Datos del barco'!F$5=E8,$H8,$H7+('Datos del barco'!F$5-E7)/(E8-E7)*($H8-$H7)),0)</f>
        <v>0</v>
      </c>
      <c r="F32" s="106">
        <f>IF(AND('Datos del barco'!G$5-F8&lt;=0,'Datos del barco'!G$5-F7&gt;0),IF('Datos del barco'!G$5=F8,$H8,$H7+('Datos del barco'!G$5-F7)/(F8-F7)*($H8-$H7)),0)</f>
        <v>0</v>
      </c>
      <c r="G32" s="106">
        <f>IF(AND('Datos del barco'!H$5-G8&lt;=0,'Datos del barco'!H$5-G7&gt;0),IF('Datos del barco'!H$5=G8,$H8,$H7+('Datos del barco'!H$5-G7)/(G8-G7)*($H8-$H7)),0)</f>
        <v>0</v>
      </c>
    </row>
    <row r="33" spans="2:7" s="104" customFormat="1" ht="12.75">
      <c r="B33" s="106">
        <f>IF(AND('Datos del barco'!C$5-B9&lt;=0,'Datos del barco'!C$5-B8&gt;0),IF('Datos del barco'!C$5=B9,$H9,$H8+('Datos del barco'!C$5-B8)/(B9-B8)*($H9-$H8)),0)</f>
        <v>0</v>
      </c>
      <c r="C33" s="106">
        <f>IF(AND('Datos del barco'!D$5-C9&lt;=0,'Datos del barco'!D$5-C8&gt;0),IF('Datos del barco'!D$5=C9,$H9,$H8+('Datos del barco'!D$5-C8)/(C9-C8)*($H9-$H8)),0)</f>
        <v>0</v>
      </c>
      <c r="D33" s="106">
        <f>IF(AND('Datos del barco'!E$5-D9&lt;=0,'Datos del barco'!E$5-D8&gt;0),IF('Datos del barco'!E$5=D9,$H9,$H8+('Datos del barco'!E$5-D8)/(D9-D8)*($H9-$H8)),0)</f>
        <v>0</v>
      </c>
      <c r="E33" s="106">
        <f>IF(AND('Datos del barco'!F$5-E9&lt;=0,'Datos del barco'!F$5-E8&gt;0),IF('Datos del barco'!F$5=E9,$H9,$H8+('Datos del barco'!F$5-E8)/(E9-E8)*($H9-$H8)),0)</f>
        <v>0</v>
      </c>
      <c r="F33" s="106">
        <f>IF(AND('Datos del barco'!G$5-F9&lt;=0,'Datos del barco'!G$5-F8&gt;0),IF('Datos del barco'!G$5=F9,$H9,$H8+('Datos del barco'!G$5-F8)/(F9-F8)*($H9-$H8)),0)</f>
        <v>0</v>
      </c>
      <c r="G33" s="106">
        <f>IF(AND('Datos del barco'!H$5-G9&lt;=0,'Datos del barco'!H$5-G8&gt;0),IF('Datos del barco'!H$5=G9,$H9,$H8+('Datos del barco'!H$5-G8)/(G9-G8)*($H9-$H8)),0)</f>
        <v>0</v>
      </c>
    </row>
    <row r="34" spans="2:7" s="104" customFormat="1" ht="12.75">
      <c r="B34" s="106">
        <f>IF(AND('Datos del barco'!C$5-B10&lt;=0,'Datos del barco'!C$5-B9&gt;0),IF('Datos del barco'!C$5=B10,$H10,$H9+('Datos del barco'!C$5-B9)/(B10-B9)*($H10-$H9)),0)</f>
        <v>0</v>
      </c>
      <c r="C34" s="106">
        <f>IF(AND('Datos del barco'!D$5-C10&lt;=0,'Datos del barco'!D$5-C9&gt;0),IF('Datos del barco'!D$5=C10,$H10,$H9+('Datos del barco'!D$5-C9)/(C10-C9)*($H10-$H9)),0)</f>
        <v>0</v>
      </c>
      <c r="D34" s="106">
        <f>IF(AND('Datos del barco'!E$5-D10&lt;=0,'Datos del barco'!E$5-D9&gt;0),IF('Datos del barco'!E$5=D10,$H10,$H9+('Datos del barco'!E$5-D9)/(D10-D9)*($H10-$H9)),0)</f>
        <v>0</v>
      </c>
      <c r="E34" s="106">
        <f>IF(AND('Datos del barco'!F$5-E10&lt;=0,'Datos del barco'!F$5-E9&gt;0),IF('Datos del barco'!F$5=E10,$H10,$H9+('Datos del barco'!F$5-E9)/(E10-E9)*($H10-$H9)),0)</f>
        <v>0</v>
      </c>
      <c r="F34" s="106">
        <f>IF(AND('Datos del barco'!G$5-F10&lt;=0,'Datos del barco'!G$5-F9&gt;0),IF('Datos del barco'!G$5=F10,$H10,$H9+('Datos del barco'!G$5-F9)/(F10-F9)*($H10-$H9)),0)</f>
        <v>0</v>
      </c>
      <c r="G34" s="106">
        <f>IF(AND('Datos del barco'!H$5-G10&lt;=0,'Datos del barco'!H$5-G9&gt;0),IF('Datos del barco'!H$5=G10,$H10,$H9+('Datos del barco'!H$5-G9)/(G10-G9)*($H10-$H9)),0)</f>
        <v>0</v>
      </c>
    </row>
    <row r="35" spans="2:7" s="104" customFormat="1" ht="12.75">
      <c r="B35" s="106">
        <f>IF(AND('Datos del barco'!C$5-B11&lt;=0,'Datos del barco'!C$5-B10&gt;0),IF('Datos del barco'!C$5=B11,$H11,$H10+('Datos del barco'!C$5-B10)/(B11-B10)*($H11-$H10)),0)</f>
        <v>0</v>
      </c>
      <c r="C35" s="106">
        <f>IF(AND('Datos del barco'!D$5-C11&lt;=0,'Datos del barco'!D$5-C10&gt;0),IF('Datos del barco'!D$5=C11,$H11,$H10+('Datos del barco'!D$5-C10)/(C11-C10)*($H11-$H10)),0)</f>
        <v>0</v>
      </c>
      <c r="D35" s="106">
        <f>IF(AND('Datos del barco'!E$5-D11&lt;=0,'Datos del barco'!E$5-D10&gt;0),IF('Datos del barco'!E$5=D11,$H11,$H10+('Datos del barco'!E$5-D10)/(D11-D10)*($H11-$H10)),0)</f>
        <v>0</v>
      </c>
      <c r="E35" s="106">
        <f>IF(AND('Datos del barco'!F$5-E11&lt;=0,'Datos del barco'!F$5-E10&gt;0),IF('Datos del barco'!F$5=E11,$H11,$H10+('Datos del barco'!F$5-E10)/(E11-E10)*($H11-$H10)),0)</f>
        <v>0</v>
      </c>
      <c r="F35" s="106">
        <f>IF(AND('Datos del barco'!G$5-F11&lt;=0,'Datos del barco'!G$5-F10&gt;0),IF('Datos del barco'!G$5=F11,$H11,$H10+('Datos del barco'!G$5-F10)/(F11-F10)*($H11-$H10)),0)</f>
        <v>0</v>
      </c>
      <c r="G35" s="106">
        <f>IF(AND('Datos del barco'!H$5-G11&lt;=0,'Datos del barco'!H$5-G10&gt;0),IF('Datos del barco'!H$5=G11,$H11,$H10+('Datos del barco'!H$5-G10)/(G11-G10)*($H11-$H10)),0)</f>
        <v>0</v>
      </c>
    </row>
    <row r="36" spans="2:7" s="104" customFormat="1" ht="12.75">
      <c r="B36" s="106">
        <f>IF(AND('Datos del barco'!C$5-B12&lt;=0,'Datos del barco'!C$5-B11&gt;0),IF('Datos del barco'!C$5=B12,$H12,$H11+('Datos del barco'!C$5-B11)/(B12-B11)*($H12-$H11)),0)</f>
        <v>0</v>
      </c>
      <c r="C36" s="106">
        <f>IF(AND('Datos del barco'!D$5-C12&lt;=0,'Datos del barco'!D$5-C11&gt;0),IF('Datos del barco'!D$5=C12,$H12,$H11+('Datos del barco'!D$5-C11)/(C12-C11)*($H12-$H11)),0)</f>
        <v>392.1259842519685</v>
      </c>
      <c r="D36" s="106">
        <f>IF(AND('Datos del barco'!E$5-D12&lt;=0,'Datos del barco'!E$5-D11&gt;0),IF('Datos del barco'!E$5=D12,$H12,$H11+('Datos del barco'!E$5-D11)/(D12-D11)*($H12-$H11)),0)</f>
        <v>0</v>
      </c>
      <c r="E36" s="106">
        <f>IF(AND('Datos del barco'!F$5-E12&lt;=0,'Datos del barco'!F$5-E11&gt;0),IF('Datos del barco'!F$5=E12,$H12,$H11+('Datos del barco'!F$5-E11)/(E12-E11)*($H12-$H11)),0)</f>
        <v>0</v>
      </c>
      <c r="F36" s="106">
        <f>IF(AND('Datos del barco'!G$5-F12&lt;=0,'Datos del barco'!G$5-F11&gt;0),IF('Datos del barco'!G$5=F12,$H12,$H11+('Datos del barco'!G$5-F11)/(F12-F11)*($H12-$H11)),0)</f>
        <v>0</v>
      </c>
      <c r="G36" s="106">
        <f>IF(AND('Datos del barco'!H$5-G12&lt;=0,'Datos del barco'!H$5-G11&gt;0),IF('Datos del barco'!H$5=G12,$H12,$H11+('Datos del barco'!H$5-G11)/(G12-G11)*($H12-$H11)),0)</f>
        <v>0</v>
      </c>
    </row>
    <row r="37" spans="2:7" s="104" customFormat="1" ht="12.75">
      <c r="B37" s="106">
        <f>IF(AND('Datos del barco'!C$5-B13&lt;=0,'Datos del barco'!C$5-B12&gt;0),IF('Datos del barco'!C$5=B13,$H13,$H12+('Datos del barco'!C$5-B12)/(B13-B12)*($H13-$H12)),0)</f>
        <v>0</v>
      </c>
      <c r="C37" s="106">
        <f>IF(AND('Datos del barco'!D$5-C13&lt;=0,'Datos del barco'!D$5-C12&gt;0),IF('Datos del barco'!D$5=C13,$H13,$H12+('Datos del barco'!D$5-C12)/(C13-C12)*($H13-$H12)),0)</f>
        <v>0</v>
      </c>
      <c r="D37" s="106">
        <f>IF(AND('Datos del barco'!E$5-D13&lt;=0,'Datos del barco'!E$5-D12&gt;0),IF('Datos del barco'!E$5=D13,$H13,$H12+('Datos del barco'!E$5-D12)/(D13-D12)*($H13-$H12)),0)</f>
        <v>0</v>
      </c>
      <c r="E37" s="106">
        <f>IF(AND('Datos del barco'!F$5-E13&lt;=0,'Datos del barco'!F$5-E12&gt;0),IF('Datos del barco'!F$5=E13,$H13,$H12+('Datos del barco'!F$5-E12)/(E13-E12)*($H13-$H12)),0)</f>
        <v>0</v>
      </c>
      <c r="F37" s="106">
        <f>IF(AND('Datos del barco'!G$5-F13&lt;=0,'Datos del barco'!G$5-F12&gt;0),IF('Datos del barco'!G$5=F13,$H13,$H12+('Datos del barco'!G$5-F12)/(F13-F12)*($H13-$H12)),0)</f>
        <v>0</v>
      </c>
      <c r="G37" s="106">
        <f>IF(AND('Datos del barco'!H$5-G13&lt;=0,'Datos del barco'!H$5-G12&gt;0),IF('Datos del barco'!H$5=G13,$H13,$H12+('Datos del barco'!H$5-G12)/(G13-G12)*($H13-$H12)),0)</f>
        <v>406.16797900262463</v>
      </c>
    </row>
    <row r="38" spans="2:7" s="104" customFormat="1" ht="12.75">
      <c r="B38" s="106">
        <f>IF(AND('Datos del barco'!C$5-B14&lt;=0,'Datos del barco'!C$5-B13&gt;0),IF('Datos del barco'!C$5=B14,$H14,$H13+('Datos del barco'!C$5-B13)/(B14-B13)*($H14-$H13)),0)</f>
        <v>0</v>
      </c>
      <c r="C38" s="106">
        <f>IF(AND('Datos del barco'!D$5-C14&lt;=0,'Datos del barco'!D$5-C13&gt;0),IF('Datos del barco'!D$5=C14,$H14,$H13+('Datos del barco'!D$5-C13)/(C14-C13)*($H14-$H13)),0)</f>
        <v>0</v>
      </c>
      <c r="D38" s="106">
        <f>IF(AND('Datos del barco'!E$5-D14&lt;=0,'Datos del barco'!E$5-D13&gt;0),IF('Datos del barco'!E$5=D14,$H14,$H13+('Datos del barco'!E$5-D13)/(D14-D13)*($H14-$H13)),0)</f>
        <v>0</v>
      </c>
      <c r="E38" s="106">
        <f>IF(AND('Datos del barco'!F$5-E14&lt;=0,'Datos del barco'!F$5-E13&gt;0),IF('Datos del barco'!F$5=E14,$H14,$H13+('Datos del barco'!F$5-E13)/(E14-E13)*($H14-$H13)),0)</f>
        <v>0</v>
      </c>
      <c r="F38" s="106">
        <f>IF(AND('Datos del barco'!G$5-F14&lt;=0,'Datos del barco'!G$5-F13&gt;0),IF('Datos del barco'!G$5=F14,$H14,$H13+('Datos del barco'!G$5-F13)/(F14-F13)*($H14-$H13)),0)</f>
        <v>0</v>
      </c>
      <c r="G38" s="106">
        <f>IF(AND('Datos del barco'!H$5-G14&lt;=0,'Datos del barco'!H$5-G13&gt;0),IF('Datos del barco'!H$5=G14,$H14,$H13+('Datos del barco'!H$5-G13)/(G14-G13)*($H14-$H13)),0)</f>
        <v>0</v>
      </c>
    </row>
    <row r="39" spans="2:7" s="104" customFormat="1" ht="12.75">
      <c r="B39" s="106">
        <f>IF(AND('Datos del barco'!C$5-B15&lt;=0,'Datos del barco'!C$5-B14&gt;0),IF('Datos del barco'!C$5=B15,$H15,$H14+('Datos del barco'!C$5-B14)/(B15-B14)*($H15-$H14)),0)</f>
        <v>0</v>
      </c>
      <c r="C39" s="106">
        <f>IF(AND('Datos del barco'!D$5-C15&lt;=0,'Datos del barco'!D$5-C14&gt;0),IF('Datos del barco'!D$5=C15,$H15,$H14+('Datos del barco'!D$5-C14)/(C15-C14)*($H15-$H14)),0)</f>
        <v>0</v>
      </c>
      <c r="D39" s="106">
        <f>IF(AND('Datos del barco'!E$5-D15&lt;=0,'Datos del barco'!E$5-D14&gt;0),IF('Datos del barco'!E$5=D15,$H15,$H14+('Datos del barco'!E$5-D14)/(D15-D14)*($H15-$H14)),0)</f>
        <v>0</v>
      </c>
      <c r="E39" s="106">
        <f>IF(AND('Datos del barco'!F$5-E15&lt;=0,'Datos del barco'!F$5-E14&gt;0),IF('Datos del barco'!F$5=E15,$H15,$H14+('Datos del barco'!F$5-E14)/(E15-E14)*($H15-$H14)),0)</f>
        <v>0</v>
      </c>
      <c r="F39" s="106">
        <f>IF(AND('Datos del barco'!G$5-F15&lt;=0,'Datos del barco'!G$5-F14&gt;0),IF('Datos del barco'!G$5=F15,$H15,$H14+('Datos del barco'!G$5-F14)/(F15-F14)*($H15-$H14)),0)</f>
        <v>0</v>
      </c>
      <c r="G39" s="106">
        <f>IF(AND('Datos del barco'!H$5-G15&lt;=0,'Datos del barco'!H$5-G14&gt;0),IF('Datos del barco'!H$5=G15,$H15,$H14+('Datos del barco'!H$5-G14)/(G15-G14)*($H15-$H14)),0)</f>
        <v>0</v>
      </c>
    </row>
    <row r="40" s="101" customFormat="1" ht="12.75">
      <c r="B40" s="121"/>
    </row>
    <row r="41" spans="2:8" s="122" customFormat="1" ht="12.75">
      <c r="B41" s="102"/>
      <c r="E41" s="103"/>
      <c r="G41" s="103"/>
      <c r="H41" s="103"/>
    </row>
    <row r="42" spans="2:9" s="122" customFormat="1" ht="12.75">
      <c r="B42" s="103"/>
      <c r="C42" s="103"/>
      <c r="E42" s="101"/>
      <c r="F42" s="123"/>
      <c r="I42" s="101"/>
    </row>
    <row r="43" spans="2:9" s="122" customFormat="1" ht="12.75">
      <c r="B43" s="124">
        <v>0</v>
      </c>
      <c r="C43" s="124">
        <f>IF(8*ROUNDUP(Cálculos!C7/8,0)&lt;=64,8*ROUNDUP(Cálculos!C7/8,0),64)</f>
        <v>32</v>
      </c>
      <c r="D43" s="124">
        <f>Cálculos!C11</f>
        <v>8</v>
      </c>
      <c r="E43" s="124">
        <f>IF(Cálculos!G9&lt;=D43+40,D43+40,IF(Cálculos!G9&lt;=D43+80,D43+80,D43+120))</f>
        <v>88</v>
      </c>
      <c r="F43" s="125" t="s">
        <v>73</v>
      </c>
      <c r="G43" s="126"/>
      <c r="H43" s="126"/>
      <c r="I43" s="101"/>
    </row>
    <row r="44" spans="2:7" s="104" customFormat="1" ht="12.75">
      <c r="B44" s="109">
        <f>'Datos del barco'!$C$8</f>
        <v>184.2345459317585</v>
      </c>
      <c r="C44" s="107" t="s">
        <v>59</v>
      </c>
      <c r="D44" s="110">
        <f>Cálculos!C6+'Datos del barco'!C12</f>
        <v>8</v>
      </c>
      <c r="E44" s="111" t="s">
        <v>61</v>
      </c>
      <c r="F44" s="110" t="str">
        <f>'Datos del barco'!C14</f>
        <v>2,25</v>
      </c>
      <c r="G44" s="112"/>
    </row>
    <row r="45" spans="2:7" s="113" customFormat="1" ht="12.75">
      <c r="B45" s="107" t="s">
        <v>1</v>
      </c>
      <c r="C45" s="114" t="s">
        <v>0</v>
      </c>
      <c r="D45" s="110" t="s">
        <v>32</v>
      </c>
      <c r="E45" s="110" t="s">
        <v>60</v>
      </c>
      <c r="F45" s="110" t="s">
        <v>62</v>
      </c>
      <c r="G45" s="107"/>
    </row>
    <row r="46" spans="2:7" s="113" customFormat="1" ht="12.75">
      <c r="B46" s="113">
        <f>Tablas!B43</f>
        <v>0</v>
      </c>
      <c r="C46" s="115">
        <f aca="true" t="shared" si="4" ref="C46:C86">$B$44*($B46/15)^2</f>
        <v>0</v>
      </c>
      <c r="D46" s="113">
        <f>Tablas!D43</f>
        <v>8</v>
      </c>
      <c r="E46" s="106">
        <f aca="true" t="shared" si="5" ref="E46:E86">D46/$D$44</f>
        <v>1</v>
      </c>
      <c r="F46" s="106">
        <f aca="true" t="shared" si="6" ref="F46:F86">IF((F$44/(2*$D$44))*($D46^2-$D$44^2)&lt;0,0,(F$44/(2*$D$44))*($D46^2-$D$44^2))</f>
        <v>0</v>
      </c>
      <c r="G46" s="104"/>
    </row>
    <row r="47" spans="2:7" s="116" customFormat="1" ht="12.75">
      <c r="B47" s="113">
        <f>B46+(Tablas!$C$43-Tablas!$B$43)/40</f>
        <v>0.8</v>
      </c>
      <c r="C47" s="115">
        <f t="shared" si="4"/>
        <v>0.5240449306503354</v>
      </c>
      <c r="D47" s="113">
        <f>D46+(Tablas!$E$43-Tablas!$D$43)/40</f>
        <v>10</v>
      </c>
      <c r="E47" s="106">
        <f t="shared" si="5"/>
        <v>1.25</v>
      </c>
      <c r="F47" s="106">
        <f t="shared" si="6"/>
        <v>5.0625</v>
      </c>
      <c r="G47" s="104"/>
    </row>
    <row r="48" spans="2:7" s="116" customFormat="1" ht="12.75">
      <c r="B48" s="113">
        <f>B47+(Tablas!$C$43-Tablas!$B$43)/40</f>
        <v>1.6</v>
      </c>
      <c r="C48" s="115">
        <f t="shared" si="4"/>
        <v>2.0961797226013417</v>
      </c>
      <c r="D48" s="113">
        <f>D47+(Tablas!$E$43-Tablas!$D$43)/40</f>
        <v>12</v>
      </c>
      <c r="E48" s="106">
        <f t="shared" si="5"/>
        <v>1.5</v>
      </c>
      <c r="F48" s="106">
        <f t="shared" si="6"/>
        <v>11.25</v>
      </c>
      <c r="G48" s="104"/>
    </row>
    <row r="49" spans="2:7" s="116" customFormat="1" ht="12.75">
      <c r="B49" s="113">
        <f>B48+(Tablas!$C$43-Tablas!$B$43)/40</f>
        <v>2.4000000000000004</v>
      </c>
      <c r="C49" s="115">
        <f t="shared" si="4"/>
        <v>4.71640437585302</v>
      </c>
      <c r="D49" s="113">
        <f>D48+(Tablas!$E$43-Tablas!$D$43)/40</f>
        <v>14</v>
      </c>
      <c r="E49" s="106">
        <f t="shared" si="5"/>
        <v>1.75</v>
      </c>
      <c r="F49" s="106">
        <f t="shared" si="6"/>
        <v>18.5625</v>
      </c>
      <c r="G49" s="104"/>
    </row>
    <row r="50" spans="2:6" s="104" customFormat="1" ht="12.75">
      <c r="B50" s="113">
        <f>B49+(Tablas!$C$43-Tablas!$B$43)/40</f>
        <v>3.2</v>
      </c>
      <c r="C50" s="115">
        <f t="shared" si="4"/>
        <v>8.384718890405367</v>
      </c>
      <c r="D50" s="113">
        <f>D49+(Tablas!$E$43-Tablas!$D$43)/40</f>
        <v>16</v>
      </c>
      <c r="E50" s="106">
        <f t="shared" si="5"/>
        <v>2</v>
      </c>
      <c r="F50" s="106">
        <f t="shared" si="6"/>
        <v>27</v>
      </c>
    </row>
    <row r="51" spans="2:6" s="104" customFormat="1" ht="12.75">
      <c r="B51" s="113">
        <f>B50+(Tablas!$C$43-Tablas!$B$43)/40</f>
        <v>4</v>
      </c>
      <c r="C51" s="115">
        <f t="shared" si="4"/>
        <v>13.101123266258382</v>
      </c>
      <c r="D51" s="113">
        <f>D50+(Tablas!$E$43-Tablas!$D$43)/40</f>
        <v>18</v>
      </c>
      <c r="E51" s="106">
        <f t="shared" si="5"/>
        <v>2.25</v>
      </c>
      <c r="F51" s="106">
        <f t="shared" si="6"/>
        <v>36.5625</v>
      </c>
    </row>
    <row r="52" spans="2:6" s="104" customFormat="1" ht="12.75">
      <c r="B52" s="113">
        <f>B51+(Tablas!$C$43-Tablas!$B$43)/40</f>
        <v>4.8</v>
      </c>
      <c r="C52" s="115">
        <f t="shared" si="4"/>
        <v>18.86561750341207</v>
      </c>
      <c r="D52" s="113">
        <f>D51+(Tablas!$E$43-Tablas!$D$43)/40</f>
        <v>20</v>
      </c>
      <c r="E52" s="106">
        <f t="shared" si="5"/>
        <v>2.5</v>
      </c>
      <c r="F52" s="106">
        <f t="shared" si="6"/>
        <v>47.25</v>
      </c>
    </row>
    <row r="53" spans="2:6" s="104" customFormat="1" ht="12.75">
      <c r="B53" s="113">
        <f>B52+(Tablas!$C$43-Tablas!$B$43)/40</f>
        <v>5.6</v>
      </c>
      <c r="C53" s="115">
        <f t="shared" si="4"/>
        <v>25.678201601866423</v>
      </c>
      <c r="D53" s="113">
        <f>D52+(Tablas!$E$43-Tablas!$D$43)/40</f>
        <v>22</v>
      </c>
      <c r="E53" s="106">
        <f t="shared" si="5"/>
        <v>2.75</v>
      </c>
      <c r="F53" s="106">
        <f t="shared" si="6"/>
        <v>59.0625</v>
      </c>
    </row>
    <row r="54" spans="2:6" s="104" customFormat="1" ht="12.75">
      <c r="B54" s="113">
        <f>B53+(Tablas!$C$43-Tablas!$B$43)/40</f>
        <v>6.3999999999999995</v>
      </c>
      <c r="C54" s="115">
        <f t="shared" si="4"/>
        <v>33.53887556162145</v>
      </c>
      <c r="D54" s="113">
        <f>D53+(Tablas!$E$43-Tablas!$D$43)/40</f>
        <v>24</v>
      </c>
      <c r="E54" s="106">
        <f t="shared" si="5"/>
        <v>3</v>
      </c>
      <c r="F54" s="106">
        <f t="shared" si="6"/>
        <v>72</v>
      </c>
    </row>
    <row r="55" spans="2:6" s="104" customFormat="1" ht="12.75">
      <c r="B55" s="113">
        <f>B54+(Tablas!$C$43-Tablas!$B$43)/40</f>
        <v>7.199999999999999</v>
      </c>
      <c r="C55" s="115">
        <f t="shared" si="4"/>
        <v>42.447639382677146</v>
      </c>
      <c r="D55" s="113">
        <f>D54+(Tablas!$E$43-Tablas!$D$43)/40</f>
        <v>26</v>
      </c>
      <c r="E55" s="106">
        <f t="shared" si="5"/>
        <v>3.25</v>
      </c>
      <c r="F55" s="106">
        <f t="shared" si="6"/>
        <v>86.0625</v>
      </c>
    </row>
    <row r="56" spans="2:7" s="117" customFormat="1" ht="12.75">
      <c r="B56" s="113">
        <f>B55+(Tablas!$C$43-Tablas!$B$43)/40</f>
        <v>7.999999999999999</v>
      </c>
      <c r="C56" s="115">
        <f t="shared" si="4"/>
        <v>52.40449306503353</v>
      </c>
      <c r="D56" s="113">
        <f>D55+(Tablas!$E$43-Tablas!$D$43)/40</f>
        <v>28</v>
      </c>
      <c r="E56" s="106">
        <f t="shared" si="5"/>
        <v>3.5</v>
      </c>
      <c r="F56" s="106">
        <f t="shared" si="6"/>
        <v>101.25</v>
      </c>
      <c r="G56" s="104"/>
    </row>
    <row r="57" spans="2:6" s="104" customFormat="1" ht="12.75">
      <c r="B57" s="113">
        <f>B56+(Tablas!$C$43-Tablas!$B$43)/40</f>
        <v>8.799999999999999</v>
      </c>
      <c r="C57" s="115">
        <f t="shared" si="4"/>
        <v>63.40943660869055</v>
      </c>
      <c r="D57" s="113">
        <f>D56+(Tablas!$E$43-Tablas!$D$43)/40</f>
        <v>30</v>
      </c>
      <c r="E57" s="106">
        <f t="shared" si="5"/>
        <v>3.75</v>
      </c>
      <c r="F57" s="106">
        <f t="shared" si="6"/>
        <v>117.5625</v>
      </c>
    </row>
    <row r="58" spans="2:6" s="104" customFormat="1" ht="12.75">
      <c r="B58" s="113">
        <f>B57+(Tablas!$C$43-Tablas!$B$43)/40</f>
        <v>9.6</v>
      </c>
      <c r="C58" s="115">
        <f t="shared" si="4"/>
        <v>75.46247001364829</v>
      </c>
      <c r="D58" s="113">
        <f>D57+(Tablas!$E$43-Tablas!$D$43)/40</f>
        <v>32</v>
      </c>
      <c r="E58" s="106">
        <f t="shared" si="5"/>
        <v>4</v>
      </c>
      <c r="F58" s="106">
        <f t="shared" si="6"/>
        <v>135</v>
      </c>
    </row>
    <row r="59" spans="2:6" s="104" customFormat="1" ht="12.75">
      <c r="B59" s="113">
        <f>B58+(Tablas!$C$43-Tablas!$B$43)/40</f>
        <v>10.4</v>
      </c>
      <c r="C59" s="115">
        <f t="shared" si="4"/>
        <v>88.56359327990667</v>
      </c>
      <c r="D59" s="113">
        <f>D58+(Tablas!$E$43-Tablas!$D$43)/40</f>
        <v>34</v>
      </c>
      <c r="E59" s="106">
        <f t="shared" si="5"/>
        <v>4.25</v>
      </c>
      <c r="F59" s="106">
        <f t="shared" si="6"/>
        <v>153.5625</v>
      </c>
    </row>
    <row r="60" spans="2:6" s="104" customFormat="1" ht="12.75">
      <c r="B60" s="113">
        <f>B59+(Tablas!$C$43-Tablas!$B$43)/40</f>
        <v>11.200000000000001</v>
      </c>
      <c r="C60" s="115">
        <f t="shared" si="4"/>
        <v>102.71280640746573</v>
      </c>
      <c r="D60" s="113">
        <f>D59+(Tablas!$E$43-Tablas!$D$43)/40</f>
        <v>36</v>
      </c>
      <c r="E60" s="106">
        <f t="shared" si="5"/>
        <v>4.5</v>
      </c>
      <c r="F60" s="106">
        <f t="shared" si="6"/>
        <v>173.25</v>
      </c>
    </row>
    <row r="61" spans="2:6" s="104" customFormat="1" ht="12.75">
      <c r="B61" s="113">
        <f>B60+(Tablas!$C$43-Tablas!$B$43)/40</f>
        <v>12.000000000000002</v>
      </c>
      <c r="C61" s="115">
        <f t="shared" si="4"/>
        <v>117.91010939632548</v>
      </c>
      <c r="D61" s="113">
        <f>D60+(Tablas!$E$43-Tablas!$D$43)/40</f>
        <v>38</v>
      </c>
      <c r="E61" s="106">
        <f t="shared" si="5"/>
        <v>4.75</v>
      </c>
      <c r="F61" s="106">
        <f t="shared" si="6"/>
        <v>194.0625</v>
      </c>
    </row>
    <row r="62" spans="2:7" s="117" customFormat="1" ht="12.75">
      <c r="B62" s="113">
        <f>B61+(Tablas!$C$43-Tablas!$B$43)/40</f>
        <v>12.800000000000002</v>
      </c>
      <c r="C62" s="115">
        <f t="shared" si="4"/>
        <v>134.1555022464859</v>
      </c>
      <c r="D62" s="113">
        <f>D61+(Tablas!$E$43-Tablas!$D$43)/40</f>
        <v>40</v>
      </c>
      <c r="E62" s="106">
        <f t="shared" si="5"/>
        <v>5</v>
      </c>
      <c r="F62" s="106">
        <f t="shared" si="6"/>
        <v>216</v>
      </c>
      <c r="G62" s="104"/>
    </row>
    <row r="63" spans="2:6" s="104" customFormat="1" ht="12.75">
      <c r="B63" s="113">
        <f>B62+(Tablas!$C$43-Tablas!$B$43)/40</f>
        <v>13.600000000000003</v>
      </c>
      <c r="C63" s="115">
        <f t="shared" si="4"/>
        <v>151.44898495794698</v>
      </c>
      <c r="D63" s="113">
        <f>D62+(Tablas!$E$43-Tablas!$D$43)/40</f>
        <v>42</v>
      </c>
      <c r="E63" s="106">
        <f t="shared" si="5"/>
        <v>5.25</v>
      </c>
      <c r="F63" s="106">
        <f t="shared" si="6"/>
        <v>239.0625</v>
      </c>
    </row>
    <row r="64" spans="2:6" s="104" customFormat="1" ht="12.75">
      <c r="B64" s="113">
        <f>B63+(Tablas!$C$43-Tablas!$B$43)/40</f>
        <v>14.400000000000004</v>
      </c>
      <c r="C64" s="115">
        <f t="shared" si="4"/>
        <v>169.79055753070872</v>
      </c>
      <c r="D64" s="113">
        <f>D63+(Tablas!$E$43-Tablas!$D$43)/40</f>
        <v>44</v>
      </c>
      <c r="E64" s="106">
        <f t="shared" si="5"/>
        <v>5.5</v>
      </c>
      <c r="F64" s="106">
        <f t="shared" si="6"/>
        <v>263.25</v>
      </c>
    </row>
    <row r="65" spans="2:6" s="104" customFormat="1" ht="12.75">
      <c r="B65" s="113">
        <f>B64+(Tablas!$C$43-Tablas!$B$43)/40</f>
        <v>15.200000000000005</v>
      </c>
      <c r="C65" s="115">
        <f t="shared" si="4"/>
        <v>189.18021996477117</v>
      </c>
      <c r="D65" s="113">
        <f>D64+(Tablas!$E$43-Tablas!$D$43)/40</f>
        <v>46</v>
      </c>
      <c r="E65" s="106">
        <f t="shared" si="5"/>
        <v>5.75</v>
      </c>
      <c r="F65" s="106">
        <f t="shared" si="6"/>
        <v>288.5625</v>
      </c>
    </row>
    <row r="66" spans="2:6" s="104" customFormat="1" ht="12.75">
      <c r="B66" s="113">
        <f>B65+(Tablas!$C$43-Tablas!$B$43)/40</f>
        <v>16.000000000000004</v>
      </c>
      <c r="C66" s="115">
        <f t="shared" si="4"/>
        <v>209.6179722601342</v>
      </c>
      <c r="D66" s="113">
        <f>D65+(Tablas!$E$43-Tablas!$D$43)/40</f>
        <v>48</v>
      </c>
      <c r="E66" s="106">
        <f t="shared" si="5"/>
        <v>6</v>
      </c>
      <c r="F66" s="106">
        <f t="shared" si="6"/>
        <v>315</v>
      </c>
    </row>
    <row r="67" spans="2:6" s="104" customFormat="1" ht="12.75">
      <c r="B67" s="113">
        <f>B66+(Tablas!$C$43-Tablas!$B$43)/40</f>
        <v>16.800000000000004</v>
      </c>
      <c r="C67" s="115">
        <f t="shared" si="4"/>
        <v>231.10381441679797</v>
      </c>
      <c r="D67" s="113">
        <f>D66+(Tablas!$E$43-Tablas!$D$43)/40</f>
        <v>50</v>
      </c>
      <c r="E67" s="106">
        <f t="shared" si="5"/>
        <v>6.25</v>
      </c>
      <c r="F67" s="106">
        <f t="shared" si="6"/>
        <v>342.5625</v>
      </c>
    </row>
    <row r="68" spans="2:6" s="104" customFormat="1" ht="12.75">
      <c r="B68" s="113">
        <f>B67+(Tablas!$C$43-Tablas!$B$43)/40</f>
        <v>17.600000000000005</v>
      </c>
      <c r="C68" s="115">
        <f t="shared" si="4"/>
        <v>253.6377464347624</v>
      </c>
      <c r="D68" s="113">
        <f>D67+(Tablas!$E$43-Tablas!$D$43)/40</f>
        <v>52</v>
      </c>
      <c r="E68" s="106">
        <f t="shared" si="5"/>
        <v>6.5</v>
      </c>
      <c r="F68" s="106">
        <f t="shared" si="6"/>
        <v>371.25</v>
      </c>
    </row>
    <row r="69" spans="2:6" s="104" customFormat="1" ht="12.75">
      <c r="B69" s="113">
        <f>B68+(Tablas!$C$43-Tablas!$B$43)/40</f>
        <v>18.400000000000006</v>
      </c>
      <c r="C69" s="115">
        <f t="shared" si="4"/>
        <v>277.21976831402753</v>
      </c>
      <c r="D69" s="113">
        <f>D68+(Tablas!$E$43-Tablas!$D$43)/40</f>
        <v>54</v>
      </c>
      <c r="E69" s="106">
        <f t="shared" si="5"/>
        <v>6.75</v>
      </c>
      <c r="F69" s="106">
        <f t="shared" si="6"/>
        <v>401.0625</v>
      </c>
    </row>
    <row r="70" spans="2:6" s="104" customFormat="1" ht="12.75">
      <c r="B70" s="113">
        <f>B69+(Tablas!$C$43-Tablas!$B$43)/40</f>
        <v>19.200000000000006</v>
      </c>
      <c r="C70" s="115">
        <f t="shared" si="4"/>
        <v>301.84988005459337</v>
      </c>
      <c r="D70" s="113">
        <f>D69+(Tablas!$E$43-Tablas!$D$43)/40</f>
        <v>56</v>
      </c>
      <c r="E70" s="106">
        <f t="shared" si="5"/>
        <v>7</v>
      </c>
      <c r="F70" s="106">
        <f t="shared" si="6"/>
        <v>432</v>
      </c>
    </row>
    <row r="71" spans="2:6" s="104" customFormat="1" ht="12.75">
      <c r="B71" s="113">
        <f>B70+(Tablas!$C$43-Tablas!$B$43)/40</f>
        <v>20.000000000000007</v>
      </c>
      <c r="C71" s="115">
        <f t="shared" si="4"/>
        <v>327.52808165645973</v>
      </c>
      <c r="D71" s="113">
        <f>D70+(Tablas!$E$43-Tablas!$D$43)/40</f>
        <v>58</v>
      </c>
      <c r="E71" s="106">
        <f t="shared" si="5"/>
        <v>7.25</v>
      </c>
      <c r="F71" s="106">
        <f t="shared" si="6"/>
        <v>464.0625</v>
      </c>
    </row>
    <row r="72" spans="2:6" s="104" customFormat="1" ht="12.75">
      <c r="B72" s="113">
        <f>B71+(Tablas!$C$43-Tablas!$B$43)/40</f>
        <v>20.800000000000008</v>
      </c>
      <c r="C72" s="115">
        <f t="shared" si="4"/>
        <v>354.2543731196269</v>
      </c>
      <c r="D72" s="113">
        <f>D71+(Tablas!$E$43-Tablas!$D$43)/40</f>
        <v>60</v>
      </c>
      <c r="E72" s="106">
        <f t="shared" si="5"/>
        <v>7.5</v>
      </c>
      <c r="F72" s="106">
        <f t="shared" si="6"/>
        <v>497.25</v>
      </c>
    </row>
    <row r="73" spans="2:6" s="104" customFormat="1" ht="12.75">
      <c r="B73" s="113">
        <f>B72+(Tablas!$C$43-Tablas!$B$43)/40</f>
        <v>21.60000000000001</v>
      </c>
      <c r="C73" s="115">
        <f t="shared" si="4"/>
        <v>382.0287544440947</v>
      </c>
      <c r="D73" s="113">
        <f>D72+(Tablas!$E$43-Tablas!$D$43)/40</f>
        <v>62</v>
      </c>
      <c r="E73" s="106">
        <f t="shared" si="5"/>
        <v>7.75</v>
      </c>
      <c r="F73" s="106">
        <f t="shared" si="6"/>
        <v>531.5625</v>
      </c>
    </row>
    <row r="74" spans="2:6" s="104" customFormat="1" ht="12.75">
      <c r="B74" s="113">
        <f>B73+(Tablas!$C$43-Tablas!$B$43)/40</f>
        <v>22.40000000000001</v>
      </c>
      <c r="C74" s="115">
        <f t="shared" si="4"/>
        <v>410.85122562986317</v>
      </c>
      <c r="D74" s="113">
        <f>D73+(Tablas!$E$43-Tablas!$D$43)/40</f>
        <v>64</v>
      </c>
      <c r="E74" s="106">
        <f t="shared" si="5"/>
        <v>8</v>
      </c>
      <c r="F74" s="106">
        <f t="shared" si="6"/>
        <v>567</v>
      </c>
    </row>
    <row r="75" spans="2:6" s="104" customFormat="1" ht="12.75">
      <c r="B75" s="113">
        <f>B74+(Tablas!$C$43-Tablas!$B$43)/40</f>
        <v>23.20000000000001</v>
      </c>
      <c r="C75" s="115">
        <f t="shared" si="4"/>
        <v>440.72178667693237</v>
      </c>
      <c r="D75" s="113">
        <f>D74+(Tablas!$E$43-Tablas!$D$43)/40</f>
        <v>66</v>
      </c>
      <c r="E75" s="106">
        <f t="shared" si="5"/>
        <v>8.25</v>
      </c>
      <c r="F75" s="106">
        <f t="shared" si="6"/>
        <v>603.5625</v>
      </c>
    </row>
    <row r="76" spans="2:6" s="104" customFormat="1" ht="12.75">
      <c r="B76" s="113">
        <f>B75+(Tablas!$C$43-Tablas!$B$43)/40</f>
        <v>24.00000000000001</v>
      </c>
      <c r="C76" s="115">
        <f t="shared" si="4"/>
        <v>471.6404375853022</v>
      </c>
      <c r="D76" s="113">
        <f>D75+(Tablas!$E$43-Tablas!$D$43)/40</f>
        <v>68</v>
      </c>
      <c r="E76" s="106">
        <f t="shared" si="5"/>
        <v>8.5</v>
      </c>
      <c r="F76" s="106">
        <f t="shared" si="6"/>
        <v>641.25</v>
      </c>
    </row>
    <row r="77" spans="2:6" s="104" customFormat="1" ht="12.75">
      <c r="B77" s="113">
        <f>B76+(Tablas!$C$43-Tablas!$B$43)/40</f>
        <v>24.80000000000001</v>
      </c>
      <c r="C77" s="115">
        <f t="shared" si="4"/>
        <v>503.60717835497263</v>
      </c>
      <c r="D77" s="113">
        <f>D76+(Tablas!$E$43-Tablas!$D$43)/40</f>
        <v>70</v>
      </c>
      <c r="E77" s="106">
        <f t="shared" si="5"/>
        <v>8.75</v>
      </c>
      <c r="F77" s="106">
        <f t="shared" si="6"/>
        <v>680.0625</v>
      </c>
    </row>
    <row r="78" spans="2:6" s="104" customFormat="1" ht="12.75">
      <c r="B78" s="113">
        <f>B77+(Tablas!$C$43-Tablas!$B$43)/40</f>
        <v>25.600000000000012</v>
      </c>
      <c r="C78" s="115">
        <f t="shared" si="4"/>
        <v>536.6220089859438</v>
      </c>
      <c r="D78" s="113">
        <f>D77+(Tablas!$E$43-Tablas!$D$43)/40</f>
        <v>72</v>
      </c>
      <c r="E78" s="106">
        <f t="shared" si="5"/>
        <v>9</v>
      </c>
      <c r="F78" s="106">
        <f t="shared" si="6"/>
        <v>720</v>
      </c>
    </row>
    <row r="79" spans="2:6" s="104" customFormat="1" ht="12.75">
      <c r="B79" s="113">
        <f>B78+(Tablas!$C$43-Tablas!$B$43)/40</f>
        <v>26.400000000000013</v>
      </c>
      <c r="C79" s="115">
        <f t="shared" si="4"/>
        <v>570.6849294782157</v>
      </c>
      <c r="D79" s="113">
        <f>D78+(Tablas!$E$43-Tablas!$D$43)/40</f>
        <v>74</v>
      </c>
      <c r="E79" s="106">
        <f t="shared" si="5"/>
        <v>9.25</v>
      </c>
      <c r="F79" s="106">
        <f t="shared" si="6"/>
        <v>761.0625</v>
      </c>
    </row>
    <row r="80" spans="2:6" s="104" customFormat="1" ht="12.75">
      <c r="B80" s="113">
        <f>B79+(Tablas!$C$43-Tablas!$B$43)/40</f>
        <v>27.200000000000014</v>
      </c>
      <c r="C80" s="115">
        <f t="shared" si="4"/>
        <v>605.7959398317881</v>
      </c>
      <c r="D80" s="113">
        <f>D79+(Tablas!$E$43-Tablas!$D$43)/40</f>
        <v>76</v>
      </c>
      <c r="E80" s="106">
        <f t="shared" si="5"/>
        <v>9.5</v>
      </c>
      <c r="F80" s="106">
        <f t="shared" si="6"/>
        <v>803.25</v>
      </c>
    </row>
    <row r="81" spans="2:6" s="104" customFormat="1" ht="12.75">
      <c r="B81" s="113">
        <f>B80+(Tablas!$C$43-Tablas!$B$43)/40</f>
        <v>28.000000000000014</v>
      </c>
      <c r="C81" s="115">
        <f t="shared" si="4"/>
        <v>641.9550400466613</v>
      </c>
      <c r="D81" s="113">
        <f>D80+(Tablas!$E$43-Tablas!$D$43)/40</f>
        <v>78</v>
      </c>
      <c r="E81" s="106">
        <f t="shared" si="5"/>
        <v>9.75</v>
      </c>
      <c r="F81" s="106">
        <f t="shared" si="6"/>
        <v>846.5625</v>
      </c>
    </row>
    <row r="82" spans="2:6" s="104" customFormat="1" ht="12.75">
      <c r="B82" s="113">
        <f>B81+(Tablas!$C$43-Tablas!$B$43)/40</f>
        <v>28.800000000000015</v>
      </c>
      <c r="C82" s="115">
        <f t="shared" si="4"/>
        <v>679.1622301228352</v>
      </c>
      <c r="D82" s="113">
        <f>D81+(Tablas!$E$43-Tablas!$D$43)/40</f>
        <v>80</v>
      </c>
      <c r="E82" s="106">
        <f t="shared" si="5"/>
        <v>10</v>
      </c>
      <c r="F82" s="106">
        <f t="shared" si="6"/>
        <v>891</v>
      </c>
    </row>
    <row r="83" spans="2:6" s="104" customFormat="1" ht="12.75">
      <c r="B83" s="113">
        <f>B82+(Tablas!$C$43-Tablas!$B$43)/40</f>
        <v>29.600000000000016</v>
      </c>
      <c r="C83" s="115">
        <f t="shared" si="4"/>
        <v>717.4175100603097</v>
      </c>
      <c r="D83" s="113">
        <f>D82+(Tablas!$E$43-Tablas!$D$43)/40</f>
        <v>82</v>
      </c>
      <c r="E83" s="106">
        <f t="shared" si="5"/>
        <v>10.25</v>
      </c>
      <c r="F83" s="106">
        <f t="shared" si="6"/>
        <v>936.5625</v>
      </c>
    </row>
    <row r="84" spans="2:6" s="104" customFormat="1" ht="12.75">
      <c r="B84" s="113">
        <f>B83+(Tablas!$C$43-Tablas!$B$43)/40</f>
        <v>30.400000000000016</v>
      </c>
      <c r="C84" s="115">
        <f t="shared" si="4"/>
        <v>756.720879859085</v>
      </c>
      <c r="D84" s="113">
        <f>D83+(Tablas!$E$43-Tablas!$D$43)/40</f>
        <v>84</v>
      </c>
      <c r="E84" s="106">
        <f t="shared" si="5"/>
        <v>10.5</v>
      </c>
      <c r="F84" s="106">
        <f t="shared" si="6"/>
        <v>983.25</v>
      </c>
    </row>
    <row r="85" spans="2:6" s="104" customFormat="1" ht="12.75">
      <c r="B85" s="113">
        <f>B84+(Tablas!$C$43-Tablas!$B$43)/40</f>
        <v>31.200000000000017</v>
      </c>
      <c r="C85" s="115">
        <f t="shared" si="4"/>
        <v>797.0723395191608</v>
      </c>
      <c r="D85" s="113">
        <f>D84+(Tablas!$E$43-Tablas!$D$43)/40</f>
        <v>86</v>
      </c>
      <c r="E85" s="106">
        <f t="shared" si="5"/>
        <v>10.75</v>
      </c>
      <c r="F85" s="106">
        <f t="shared" si="6"/>
        <v>1031.0625</v>
      </c>
    </row>
    <row r="86" spans="2:6" s="104" customFormat="1" ht="12.75">
      <c r="B86" s="113">
        <f>B85+(Tablas!$C$43-Tablas!$B$43)/40</f>
        <v>32.000000000000014</v>
      </c>
      <c r="C86" s="115">
        <f t="shared" si="4"/>
        <v>838.4718890405371</v>
      </c>
      <c r="D86" s="113">
        <f>D85+(Tablas!$E$43-Tablas!$D$43)/40</f>
        <v>88</v>
      </c>
      <c r="E86" s="106">
        <f t="shared" si="5"/>
        <v>11</v>
      </c>
      <c r="F86" s="106">
        <f t="shared" si="6"/>
        <v>1080</v>
      </c>
    </row>
    <row r="87" spans="2:9" s="120" customFormat="1" ht="12.75">
      <c r="B87" s="118"/>
      <c r="C87" s="119"/>
      <c r="D87" s="119"/>
      <c r="E87" s="119"/>
      <c r="F87" s="119"/>
      <c r="G87" s="119"/>
      <c r="H87" s="119"/>
      <c r="I87" s="119"/>
    </row>
    <row r="88" spans="2:9" s="120" customFormat="1" ht="12.75">
      <c r="B88" s="118"/>
      <c r="C88" s="119"/>
      <c r="D88" s="119"/>
      <c r="E88" s="119"/>
      <c r="F88" s="119"/>
      <c r="G88" s="119"/>
      <c r="H88" s="119"/>
      <c r="I88" s="119"/>
    </row>
    <row r="89" spans="2:9" s="120" customFormat="1" ht="12.75">
      <c r="B89" s="118"/>
      <c r="C89" s="119"/>
      <c r="D89" s="119"/>
      <c r="E89" s="119"/>
      <c r="F89" s="119"/>
      <c r="G89" s="119"/>
      <c r="H89" s="119"/>
      <c r="I89" s="119"/>
    </row>
    <row r="90" spans="2:9" s="120" customFormat="1" ht="12.75">
      <c r="B90" s="118"/>
      <c r="C90" s="119"/>
      <c r="D90" s="119"/>
      <c r="E90" s="119"/>
      <c r="F90" s="119"/>
      <c r="G90" s="119"/>
      <c r="H90" s="119"/>
      <c r="I90" s="119"/>
    </row>
    <row r="91" spans="2:9" s="120" customFormat="1" ht="12.75">
      <c r="B91" s="118"/>
      <c r="C91" s="119"/>
      <c r="D91" s="119"/>
      <c r="E91" s="119"/>
      <c r="F91" s="119"/>
      <c r="G91" s="119"/>
      <c r="H91" s="119"/>
      <c r="I91" s="119"/>
    </row>
    <row r="92" spans="2:9" s="120" customFormat="1" ht="12.75">
      <c r="B92" s="118"/>
      <c r="C92" s="119"/>
      <c r="D92" s="119"/>
      <c r="E92" s="119"/>
      <c r="F92" s="119"/>
      <c r="G92" s="119"/>
      <c r="H92" s="119"/>
      <c r="I92" s="119"/>
    </row>
    <row r="93" spans="2:9" s="120" customFormat="1" ht="12.75">
      <c r="B93" s="118"/>
      <c r="C93" s="119"/>
      <c r="D93" s="119"/>
      <c r="E93" s="119"/>
      <c r="F93" s="119"/>
      <c r="G93" s="119"/>
      <c r="H93" s="119"/>
      <c r="I93" s="119"/>
    </row>
    <row r="94" spans="2:9" s="120" customFormat="1" ht="12.75">
      <c r="B94" s="118"/>
      <c r="C94" s="119"/>
      <c r="D94" s="119"/>
      <c r="E94" s="119"/>
      <c r="F94" s="119"/>
      <c r="G94" s="119"/>
      <c r="H94" s="119"/>
      <c r="I94" s="119"/>
    </row>
    <row r="95" spans="2:9" s="120" customFormat="1" ht="12.75">
      <c r="B95" s="118"/>
      <c r="C95" s="119"/>
      <c r="D95" s="119"/>
      <c r="E95" s="119"/>
      <c r="F95" s="119"/>
      <c r="G95" s="119"/>
      <c r="H95" s="119"/>
      <c r="I95" s="119"/>
    </row>
    <row r="96" spans="2:9" s="120" customFormat="1" ht="12.75">
      <c r="B96" s="118"/>
      <c r="C96" s="119"/>
      <c r="D96" s="119"/>
      <c r="E96" s="119"/>
      <c r="F96" s="119"/>
      <c r="G96" s="119"/>
      <c r="H96" s="119"/>
      <c r="I96" s="119"/>
    </row>
    <row r="97" spans="2:9" s="120" customFormat="1" ht="12.75">
      <c r="B97" s="118"/>
      <c r="C97" s="119"/>
      <c r="D97" s="119"/>
      <c r="E97" s="119"/>
      <c r="F97" s="119"/>
      <c r="G97" s="119"/>
      <c r="H97" s="119"/>
      <c r="I97" s="119"/>
    </row>
    <row r="98" spans="2:9" s="120" customFormat="1" ht="12.75">
      <c r="B98" s="118"/>
      <c r="C98" s="119"/>
      <c r="D98" s="119"/>
      <c r="E98" s="119"/>
      <c r="F98" s="119"/>
      <c r="G98" s="119"/>
      <c r="H98" s="119"/>
      <c r="I98" s="119"/>
    </row>
    <row r="99" spans="2:9" s="120" customFormat="1" ht="12.75">
      <c r="B99" s="118"/>
      <c r="C99" s="119"/>
      <c r="D99" s="119"/>
      <c r="E99" s="119"/>
      <c r="F99" s="119"/>
      <c r="G99" s="119"/>
      <c r="H99" s="119"/>
      <c r="I99" s="119"/>
    </row>
    <row r="100" spans="2:9" s="120" customFormat="1" ht="12.75">
      <c r="B100" s="118"/>
      <c r="C100" s="119"/>
      <c r="D100" s="119"/>
      <c r="E100" s="119"/>
      <c r="F100" s="119"/>
      <c r="G100" s="119"/>
      <c r="H100" s="119"/>
      <c r="I100" s="119"/>
    </row>
    <row r="101" spans="2:9" s="120" customFormat="1" ht="12.75">
      <c r="B101" s="118"/>
      <c r="C101" s="119"/>
      <c r="D101" s="119"/>
      <c r="E101" s="119"/>
      <c r="F101" s="119"/>
      <c r="G101" s="119"/>
      <c r="H101" s="119"/>
      <c r="I101" s="119"/>
    </row>
    <row r="102" spans="2:9" s="120" customFormat="1" ht="12.75">
      <c r="B102" s="118"/>
      <c r="C102" s="119"/>
      <c r="D102" s="119"/>
      <c r="E102" s="119"/>
      <c r="F102" s="119"/>
      <c r="G102" s="119"/>
      <c r="H102" s="119"/>
      <c r="I102" s="119"/>
    </row>
    <row r="103" spans="2:9" s="120" customFormat="1" ht="12.75">
      <c r="B103" s="118"/>
      <c r="C103" s="119"/>
      <c r="D103" s="119"/>
      <c r="E103" s="119"/>
      <c r="F103" s="119"/>
      <c r="G103" s="119"/>
      <c r="H103" s="119"/>
      <c r="I103" s="119"/>
    </row>
    <row r="104" spans="2:9" s="120" customFormat="1" ht="12.75">
      <c r="B104" s="118"/>
      <c r="C104" s="119"/>
      <c r="D104" s="119"/>
      <c r="E104" s="119"/>
      <c r="F104" s="119"/>
      <c r="G104" s="119"/>
      <c r="H104" s="119"/>
      <c r="I104" s="119"/>
    </row>
    <row r="105" spans="2:9" s="120" customFormat="1" ht="12.75">
      <c r="B105" s="118"/>
      <c r="C105" s="119"/>
      <c r="D105" s="119"/>
      <c r="E105" s="119"/>
      <c r="F105" s="119"/>
      <c r="G105" s="119"/>
      <c r="H105" s="119"/>
      <c r="I105" s="119"/>
    </row>
    <row r="106" spans="2:9" s="120" customFormat="1" ht="12.75">
      <c r="B106" s="118"/>
      <c r="C106" s="119"/>
      <c r="D106" s="119"/>
      <c r="E106" s="119"/>
      <c r="F106" s="119"/>
      <c r="G106" s="119"/>
      <c r="H106" s="119"/>
      <c r="I106" s="119"/>
    </row>
    <row r="107" spans="2:9" s="120" customFormat="1" ht="12.75">
      <c r="B107" s="118"/>
      <c r="C107" s="119"/>
      <c r="D107" s="119"/>
      <c r="E107" s="119"/>
      <c r="F107" s="119"/>
      <c r="G107" s="119"/>
      <c r="H107" s="119"/>
      <c r="I107" s="119"/>
    </row>
    <row r="108" spans="2:9" s="120" customFormat="1" ht="12.75">
      <c r="B108" s="118"/>
      <c r="C108" s="119"/>
      <c r="D108" s="119"/>
      <c r="E108" s="119"/>
      <c r="F108" s="119"/>
      <c r="G108" s="119"/>
      <c r="H108" s="119"/>
      <c r="I108" s="119"/>
    </row>
    <row r="109" spans="2:9" s="120" customFormat="1" ht="12.75">
      <c r="B109" s="118"/>
      <c r="C109" s="119"/>
      <c r="D109" s="119"/>
      <c r="E109" s="119"/>
      <c r="F109" s="119"/>
      <c r="G109" s="119"/>
      <c r="H109" s="119"/>
      <c r="I109" s="119"/>
    </row>
    <row r="110" spans="2:9" s="120" customFormat="1" ht="12.75">
      <c r="B110" s="118"/>
      <c r="C110" s="119"/>
      <c r="D110" s="119"/>
      <c r="E110" s="119"/>
      <c r="F110" s="119"/>
      <c r="G110" s="119"/>
      <c r="H110" s="119"/>
      <c r="I110" s="119"/>
    </row>
    <row r="111" spans="2:9" s="120" customFormat="1" ht="12.75">
      <c r="B111" s="118"/>
      <c r="C111" s="119"/>
      <c r="D111" s="119"/>
      <c r="E111" s="119"/>
      <c r="F111" s="119"/>
      <c r="G111" s="119"/>
      <c r="H111" s="119"/>
      <c r="I111" s="119"/>
    </row>
    <row r="112" spans="2:9" s="120" customFormat="1" ht="12.75">
      <c r="B112" s="118"/>
      <c r="C112" s="119"/>
      <c r="D112" s="119"/>
      <c r="E112" s="119"/>
      <c r="F112" s="119"/>
      <c r="G112" s="119"/>
      <c r="H112" s="119"/>
      <c r="I112" s="119"/>
    </row>
    <row r="113" spans="2:9" s="120" customFormat="1" ht="12.75">
      <c r="B113" s="118"/>
      <c r="C113" s="119"/>
      <c r="D113" s="119"/>
      <c r="E113" s="119"/>
      <c r="F113" s="119"/>
      <c r="G113" s="119"/>
      <c r="H113" s="119"/>
      <c r="I113" s="119"/>
    </row>
    <row r="114" spans="2:9" s="120" customFormat="1" ht="12.75">
      <c r="B114" s="118"/>
      <c r="C114" s="119"/>
      <c r="D114" s="119"/>
      <c r="E114" s="119"/>
      <c r="F114" s="119"/>
      <c r="G114" s="119"/>
      <c r="H114" s="119"/>
      <c r="I114" s="119"/>
    </row>
    <row r="115" spans="2:9" s="120" customFormat="1" ht="12.75">
      <c r="B115" s="118"/>
      <c r="C115" s="119"/>
      <c r="D115" s="119"/>
      <c r="E115" s="119"/>
      <c r="F115" s="119"/>
      <c r="G115" s="119"/>
      <c r="H115" s="119"/>
      <c r="I115" s="119"/>
    </row>
    <row r="116" spans="2:9" s="120" customFormat="1" ht="12.75">
      <c r="B116" s="118"/>
      <c r="C116" s="119"/>
      <c r="D116" s="119"/>
      <c r="E116" s="119"/>
      <c r="F116" s="119"/>
      <c r="G116" s="119"/>
      <c r="H116" s="119"/>
      <c r="I116" s="119"/>
    </row>
    <row r="117" spans="2:9" s="120" customFormat="1" ht="12.75">
      <c r="B117" s="118"/>
      <c r="C117" s="119"/>
      <c r="D117" s="119"/>
      <c r="E117" s="119"/>
      <c r="F117" s="119"/>
      <c r="G117" s="119"/>
      <c r="H117" s="119"/>
      <c r="I117" s="119"/>
    </row>
    <row r="118" spans="2:9" s="120" customFormat="1" ht="12.75">
      <c r="B118" s="118"/>
      <c r="C118" s="119"/>
      <c r="D118" s="119"/>
      <c r="E118" s="119"/>
      <c r="F118" s="119"/>
      <c r="G118" s="119"/>
      <c r="H118" s="119"/>
      <c r="I118" s="119"/>
    </row>
    <row r="119" spans="2:9" s="120" customFormat="1" ht="12.75">
      <c r="B119" s="118"/>
      <c r="C119" s="119"/>
      <c r="D119" s="119"/>
      <c r="E119" s="119"/>
      <c r="F119" s="119"/>
      <c r="G119" s="119"/>
      <c r="H119" s="119"/>
      <c r="I119" s="119"/>
    </row>
    <row r="120" spans="2:9" s="120" customFormat="1" ht="12.75">
      <c r="B120" s="118"/>
      <c r="C120" s="119"/>
      <c r="D120" s="119"/>
      <c r="E120" s="119"/>
      <c r="F120" s="119"/>
      <c r="G120" s="119"/>
      <c r="H120" s="119"/>
      <c r="I120" s="119"/>
    </row>
    <row r="121" spans="2:9" s="120" customFormat="1" ht="12.75">
      <c r="B121" s="118"/>
      <c r="C121" s="119"/>
      <c r="D121" s="119"/>
      <c r="E121" s="119"/>
      <c r="F121" s="119"/>
      <c r="G121" s="119"/>
      <c r="H121" s="119"/>
      <c r="I121" s="119"/>
    </row>
  </sheetData>
  <sheetProtection password="E6F1" sheet="1" objects="1" scenarios="1" selectLockedCells="1" selectUnlockedCells="1"/>
  <mergeCells count="14">
    <mergeCell ref="B27:C27"/>
    <mergeCell ref="D3:E3"/>
    <mergeCell ref="F3:G3"/>
    <mergeCell ref="B3:C3"/>
    <mergeCell ref="B20:C20"/>
    <mergeCell ref="B21:C21"/>
    <mergeCell ref="B22:C22"/>
    <mergeCell ref="D27:E27"/>
    <mergeCell ref="F27:G27"/>
    <mergeCell ref="B2:I2"/>
    <mergeCell ref="B18:H18"/>
    <mergeCell ref="B26:G26"/>
    <mergeCell ref="H3:I3"/>
    <mergeCell ref="B19:C1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&amp;C&amp;"Arial,Negrita"&amp;12Catenaria y fondeo.Tablas.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5" sqref="D5"/>
    </sheetView>
  </sheetViews>
  <sheetFormatPr defaultColWidth="9.140625" defaultRowHeight="12.75"/>
  <cols>
    <col min="1" max="1" width="3.57421875" style="50" customWidth="1"/>
    <col min="2" max="2" width="28.421875" style="50" customWidth="1"/>
    <col min="3" max="16384" width="9.140625" style="50" customWidth="1"/>
  </cols>
  <sheetData>
    <row r="1" spans="2:8" ht="13.5" thickBot="1">
      <c r="B1" s="57"/>
      <c r="C1" s="57"/>
      <c r="D1" s="57"/>
      <c r="E1" s="57"/>
      <c r="F1" s="57"/>
      <c r="G1" s="57"/>
      <c r="H1" s="57"/>
    </row>
    <row r="2" spans="1:8" ht="12.75">
      <c r="A2" s="53"/>
      <c r="B2" s="141" t="s">
        <v>51</v>
      </c>
      <c r="C2" s="148" t="s">
        <v>33</v>
      </c>
      <c r="D2" s="148"/>
      <c r="E2" s="146" t="s">
        <v>34</v>
      </c>
      <c r="F2" s="146"/>
      <c r="G2" s="146"/>
      <c r="H2" s="147"/>
    </row>
    <row r="3" spans="1:8" ht="12.75">
      <c r="A3" s="53"/>
      <c r="B3" s="142"/>
      <c r="C3" s="149"/>
      <c r="D3" s="149"/>
      <c r="E3" s="136" t="s">
        <v>35</v>
      </c>
      <c r="F3" s="136"/>
      <c r="G3" s="131" t="s">
        <v>36</v>
      </c>
      <c r="H3" s="150"/>
    </row>
    <row r="4" spans="1:8" ht="12.75">
      <c r="A4" s="53"/>
      <c r="B4" s="142"/>
      <c r="C4" s="3" t="s">
        <v>16</v>
      </c>
      <c r="D4" s="1" t="s">
        <v>17</v>
      </c>
      <c r="E4" s="1" t="s">
        <v>16</v>
      </c>
      <c r="F4" s="1" t="s">
        <v>17</v>
      </c>
      <c r="G4" s="1" t="s">
        <v>16</v>
      </c>
      <c r="H4" s="2" t="s">
        <v>17</v>
      </c>
    </row>
    <row r="5" spans="1:8" ht="12.75">
      <c r="A5" s="53"/>
      <c r="B5" s="4" t="s">
        <v>31</v>
      </c>
      <c r="C5" s="5"/>
      <c r="D5" s="5">
        <v>15</v>
      </c>
      <c r="E5" s="5"/>
      <c r="F5" s="5"/>
      <c r="G5" s="5"/>
      <c r="H5" s="6">
        <v>4</v>
      </c>
    </row>
    <row r="6" spans="1:8" ht="12.75">
      <c r="A6" s="53"/>
      <c r="B6" s="7" t="s">
        <v>52</v>
      </c>
      <c r="C6" s="92">
        <f>IF(C5=0,"",IF(OR(C5-Tablas!B15&gt;0,C5-Tablas!B5&lt;0),"ERROR",MAX(Tablas!B30:B39)))</f>
      </c>
      <c r="D6" s="92">
        <f>IF(D5=0,"",IF(OR(D5-Tablas!C15&gt;0,D5-Tablas!C5&lt;0),"ERROR",MAX(Tablas!C30:C39)))</f>
        <v>392.1259842519685</v>
      </c>
      <c r="E6" s="92">
        <f>IF(E5=0,"",IF(OR(E5-Tablas!D15&gt;0,E5-Tablas!D5&lt;0),"ERROR",MAX(Tablas!D30:D39)))</f>
      </c>
      <c r="F6" s="92">
        <f>IF(F5=0,"",IF(OR(F5-Tablas!E15&gt;0,F5-Tablas!E5&lt;0),"ERROR",MAX(Tablas!E30:E39)))</f>
      </c>
      <c r="G6" s="92">
        <f>IF(G5=0,"",IF(OR(G5-Tablas!F15&gt;0,G5-Tablas!F5&lt;0),"ERROR",MAX(Tablas!F30:F39)))</f>
      </c>
      <c r="H6" s="93">
        <f>IF(H5=0,"",IF(OR(H5-Tablas!G15&gt;0,H5-Tablas!G5&lt;0),"ERROR",MAX(Tablas!G30:G39)))</f>
        <v>406.16797900262463</v>
      </c>
    </row>
    <row r="7" spans="1:8" ht="13.5" thickBot="1">
      <c r="A7" s="53"/>
      <c r="B7" s="9" t="s">
        <v>53</v>
      </c>
      <c r="C7" s="94">
        <f aca="true" t="shared" si="0" ref="C7:H7">IF(C5=0,"",IF(C6="ERROR","ERROR",C6*0.453592))</f>
      </c>
      <c r="D7" s="94">
        <f t="shared" si="0"/>
        <v>177.8652094488189</v>
      </c>
      <c r="E7" s="95">
        <f t="shared" si="0"/>
      </c>
      <c r="F7" s="95">
        <f t="shared" si="0"/>
      </c>
      <c r="G7" s="95">
        <f t="shared" si="0"/>
      </c>
      <c r="H7" s="96">
        <f t="shared" si="0"/>
        <v>184.2345459317585</v>
      </c>
    </row>
    <row r="8" spans="1:8" ht="13.5" thickBot="1">
      <c r="A8" s="53"/>
      <c r="B8" s="64" t="s">
        <v>55</v>
      </c>
      <c r="C8" s="65">
        <f>MAX(C6:H6)*0.453592</f>
        <v>184.2345459317585</v>
      </c>
      <c r="D8" s="66" t="s">
        <v>39</v>
      </c>
      <c r="E8" s="60"/>
      <c r="F8" s="61"/>
      <c r="G8" s="61"/>
      <c r="H8" s="61"/>
    </row>
    <row r="9" spans="2:8" ht="12.75">
      <c r="B9" s="62"/>
      <c r="C9" s="62"/>
      <c r="D9" s="62"/>
      <c r="F9" s="29"/>
      <c r="G9" s="51"/>
      <c r="H9" s="51"/>
    </row>
    <row r="10" spans="2:8" ht="13.5" thickBot="1">
      <c r="B10" s="58"/>
      <c r="C10" s="58"/>
      <c r="D10" s="59"/>
      <c r="E10" s="29"/>
      <c r="F10" s="29"/>
      <c r="G10" s="51"/>
      <c r="H10" s="51"/>
    </row>
    <row r="11" spans="1:6" ht="12.75">
      <c r="A11" s="53"/>
      <c r="B11" s="143" t="s">
        <v>54</v>
      </c>
      <c r="C11" s="144"/>
      <c r="D11" s="145"/>
      <c r="E11" s="55"/>
      <c r="F11" s="29"/>
    </row>
    <row r="12" spans="1:5" ht="12.75">
      <c r="A12" s="53"/>
      <c r="B12" s="11" t="s">
        <v>45</v>
      </c>
      <c r="C12" s="100">
        <v>1</v>
      </c>
      <c r="D12" s="12" t="s">
        <v>40</v>
      </c>
      <c r="E12" s="54"/>
    </row>
    <row r="13" spans="1:5" ht="12.75">
      <c r="A13" s="53"/>
      <c r="B13" s="13" t="s">
        <v>37</v>
      </c>
      <c r="C13" s="14">
        <v>10</v>
      </c>
      <c r="D13" s="12" t="s">
        <v>42</v>
      </c>
      <c r="E13" s="54"/>
    </row>
    <row r="14" spans="1:5" ht="12.75">
      <c r="A14" s="53"/>
      <c r="B14" s="15" t="s">
        <v>43</v>
      </c>
      <c r="C14" s="16" t="str">
        <f>IF(C13=Tablas!D19,Tablas!D20,IF(C13=Tablas!E19,Tablas!E20,IF(C13=Tablas!F19,Tablas!F20,IF(C13=Tablas!G19,Tablas!G20,IF(C13=Tablas!H19,Tablas!H20,"ERROR")))))</f>
        <v>2,25</v>
      </c>
      <c r="D14" s="17" t="s">
        <v>30</v>
      </c>
      <c r="E14" s="54"/>
    </row>
    <row r="15" spans="1:5" ht="12.75">
      <c r="A15" s="53"/>
      <c r="B15" s="13" t="s">
        <v>44</v>
      </c>
      <c r="C15" s="8">
        <f>IF(C13=Tablas!D19,Tablas!D21,IF(C13=Tablas!E19,Tablas!E21,IF(C13=Tablas!F19,Tablas!F21,IF(C13=Tablas!G19,Tablas!G21,IF(C13=Tablas!H19,Tablas!H21,"ERROR")))))</f>
        <v>5000</v>
      </c>
      <c r="D15" s="12" t="s">
        <v>39</v>
      </c>
      <c r="E15" s="54"/>
    </row>
    <row r="16" spans="1:7" ht="13.5" thickBot="1">
      <c r="A16" s="53"/>
      <c r="B16" s="18" t="s">
        <v>29</v>
      </c>
      <c r="C16" s="10">
        <f>IF(C15="ERROR","ERROR",C15/4)</f>
        <v>1250</v>
      </c>
      <c r="D16" s="19" t="s">
        <v>39</v>
      </c>
      <c r="E16" s="56"/>
      <c r="F16" s="52"/>
      <c r="G16" s="52"/>
    </row>
    <row r="17" spans="2:4" ht="12.75">
      <c r="B17" s="62"/>
      <c r="C17" s="62"/>
      <c r="D17" s="62"/>
    </row>
    <row r="18" ht="12.75">
      <c r="B18" s="29" t="s">
        <v>71</v>
      </c>
    </row>
  </sheetData>
  <sheetProtection password="97F1" sheet="1" objects="1" scenarios="1" selectLockedCells="1"/>
  <mergeCells count="6">
    <mergeCell ref="B2:B4"/>
    <mergeCell ref="B11:D11"/>
    <mergeCell ref="E2:H2"/>
    <mergeCell ref="C2:D3"/>
    <mergeCell ref="E3:F3"/>
    <mergeCell ref="G3:H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&amp;C&amp;"Arial,Negrita"&amp;12Catenaria y fondeo. Datos del barco.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28125" style="29" customWidth="1"/>
    <col min="2" max="2" width="33.140625" style="29" bestFit="1" customWidth="1"/>
    <col min="3" max="3" width="9.8515625" style="29" customWidth="1"/>
    <col min="4" max="4" width="7.57421875" style="29" customWidth="1"/>
    <col min="5" max="5" width="3.00390625" style="29" customWidth="1"/>
    <col min="6" max="6" width="31.8515625" style="29" customWidth="1"/>
    <col min="7" max="9" width="7.57421875" style="29" customWidth="1"/>
    <col min="10" max="10" width="7.28125" style="29" customWidth="1"/>
    <col min="11" max="11" width="7.421875" style="29" customWidth="1"/>
    <col min="12" max="16384" width="9.140625" style="29" customWidth="1"/>
  </cols>
  <sheetData>
    <row r="2" ht="362.25" customHeight="1"/>
    <row r="3" spans="2:8" ht="13.5" thickBot="1">
      <c r="B3" s="30"/>
      <c r="C3" s="30"/>
      <c r="D3" s="30"/>
      <c r="E3" s="30"/>
      <c r="F3" s="30"/>
      <c r="G3" s="30"/>
      <c r="H3" s="30"/>
    </row>
    <row r="4" spans="1:9" s="33" customFormat="1" ht="18" customHeight="1">
      <c r="A4" s="31"/>
      <c r="B4" s="154" t="s">
        <v>46</v>
      </c>
      <c r="C4" s="155"/>
      <c r="D4" s="155"/>
      <c r="E4" s="155"/>
      <c r="F4" s="155"/>
      <c r="G4" s="155"/>
      <c r="H4" s="156"/>
      <c r="I4" s="32"/>
    </row>
    <row r="5" spans="1:9" s="25" customFormat="1" ht="12.75">
      <c r="A5" s="26"/>
      <c r="B5" s="151" t="s">
        <v>66</v>
      </c>
      <c r="C5" s="152"/>
      <c r="D5" s="152"/>
      <c r="E5" s="34"/>
      <c r="F5" s="152" t="s">
        <v>67</v>
      </c>
      <c r="G5" s="152"/>
      <c r="H5" s="153"/>
      <c r="I5" s="27"/>
    </row>
    <row r="6" spans="1:9" s="25" customFormat="1" ht="12.75">
      <c r="A6" s="26"/>
      <c r="B6" s="35" t="s">
        <v>63</v>
      </c>
      <c r="C6" s="49">
        <v>7</v>
      </c>
      <c r="D6" s="36" t="s">
        <v>40</v>
      </c>
      <c r="E6" s="36"/>
      <c r="F6" s="36" t="s">
        <v>48</v>
      </c>
      <c r="G6" s="37">
        <f>(-C8+(C8^2+('Datos del barco'!C14*G9)^2)^(1/2))/'Datos del barco'!C14-'Datos del barco'!C12</f>
        <v>6.991453353324333</v>
      </c>
      <c r="H6" s="38" t="s">
        <v>40</v>
      </c>
      <c r="I6" s="27"/>
    </row>
    <row r="7" spans="1:9" s="25" customFormat="1" ht="12.75">
      <c r="A7" s="26"/>
      <c r="B7" s="35" t="s">
        <v>38</v>
      </c>
      <c r="C7" s="49">
        <v>28</v>
      </c>
      <c r="D7" s="36" t="s">
        <v>41</v>
      </c>
      <c r="E7" s="36"/>
      <c r="F7" s="36" t="s">
        <v>64</v>
      </c>
      <c r="G7" s="37">
        <f>15*SQRT(G8/'Datos del barco'!C8)</f>
        <v>27.984619994139663</v>
      </c>
      <c r="H7" s="38" t="s">
        <v>41</v>
      </c>
      <c r="I7" s="27"/>
    </row>
    <row r="8" spans="1:9" s="25" customFormat="1" ht="12.75">
      <c r="A8" s="26"/>
      <c r="B8" s="39" t="s">
        <v>47</v>
      </c>
      <c r="C8" s="40">
        <f>'Datos del barco'!C8*(C7/15)^2</f>
        <v>641.9550400466608</v>
      </c>
      <c r="D8" s="36" t="s">
        <v>39</v>
      </c>
      <c r="E8" s="36"/>
      <c r="F8" s="41" t="s">
        <v>72</v>
      </c>
      <c r="G8" s="40">
        <f>IF(('Datos del barco'!C14/(2*(C6+'Datos del barco'!C12)))*(G9^2-(C6+'Datos del barco'!C12)^2)&lt;0,0,('Datos del barco'!C14/(2*(C6+'Datos del barco'!C12)))*(G9^2-(C6+'Datos del barco'!C12)^2))</f>
        <v>641.25</v>
      </c>
      <c r="H8" s="38" t="s">
        <v>39</v>
      </c>
      <c r="I8" s="27"/>
    </row>
    <row r="9" spans="1:9" s="25" customFormat="1" ht="12.75">
      <c r="A9" s="26"/>
      <c r="B9" s="35" t="s">
        <v>69</v>
      </c>
      <c r="C9" s="37">
        <f>SQRT(2*(C6+'Datos del barco'!C12)*C8/'Datos del barco'!C14+(C6+'Datos del barco'!C12)^2)</f>
        <v>68.03685485168747</v>
      </c>
      <c r="D9" s="36" t="s">
        <v>40</v>
      </c>
      <c r="E9" s="36"/>
      <c r="F9" s="42" t="s">
        <v>70</v>
      </c>
      <c r="G9" s="49">
        <v>68</v>
      </c>
      <c r="H9" s="38" t="s">
        <v>40</v>
      </c>
      <c r="I9" s="27"/>
    </row>
    <row r="10" spans="1:9" s="25" customFormat="1" ht="12.75">
      <c r="A10" s="26"/>
      <c r="B10" s="43"/>
      <c r="C10" s="44"/>
      <c r="D10" s="36"/>
      <c r="E10" s="36"/>
      <c r="F10" s="36"/>
      <c r="G10" s="44"/>
      <c r="H10" s="38"/>
      <c r="I10" s="27"/>
    </row>
    <row r="11" spans="1:9" s="25" customFormat="1" ht="12.75">
      <c r="A11" s="26"/>
      <c r="B11" s="39" t="s">
        <v>75</v>
      </c>
      <c r="C11" s="37">
        <f>C6+'Datos del barco'!C12</f>
        <v>8</v>
      </c>
      <c r="D11" s="36" t="s">
        <v>40</v>
      </c>
      <c r="E11" s="36"/>
      <c r="F11" s="36" t="s">
        <v>49</v>
      </c>
      <c r="G11" s="40">
        <f>SQRT(C8^2+('Datos del barco'!C14*G9)^2)</f>
        <v>659.9358100916405</v>
      </c>
      <c r="H11" s="38" t="s">
        <v>39</v>
      </c>
      <c r="I11" s="27"/>
    </row>
    <row r="12" spans="1:9" s="25" customFormat="1" ht="12.75">
      <c r="A12" s="26"/>
      <c r="B12" s="43" t="s">
        <v>74</v>
      </c>
      <c r="C12" s="37">
        <f>G9/(C6+'Datos del barco'!C12)</f>
        <v>8.5</v>
      </c>
      <c r="D12" s="41" t="s">
        <v>68</v>
      </c>
      <c r="E12" s="36"/>
      <c r="F12" s="36" t="s">
        <v>50</v>
      </c>
      <c r="G12" s="40">
        <f>IF(G8&gt;0,G8/'Datos del barco'!C14*ASINH(G9*'Datos del barco'!C14/G8),0)</f>
        <v>67.3708017483057</v>
      </c>
      <c r="H12" s="38" t="s">
        <v>40</v>
      </c>
      <c r="I12" s="27"/>
    </row>
    <row r="13" spans="1:9" s="25" customFormat="1" ht="13.5" thickBot="1">
      <c r="A13" s="26"/>
      <c r="B13" s="45"/>
      <c r="C13" s="46"/>
      <c r="D13" s="47"/>
      <c r="E13" s="47"/>
      <c r="F13" s="47" t="s">
        <v>65</v>
      </c>
      <c r="G13" s="97">
        <f>SQRT(G9^2-(C6+'Datos del barco'!C12)^2)-G12</f>
        <v>0.15697031623084</v>
      </c>
      <c r="H13" s="48" t="s">
        <v>40</v>
      </c>
      <c r="I13" s="27"/>
    </row>
    <row r="14" spans="2:8" s="25" customFormat="1" ht="12.75">
      <c r="B14" s="28"/>
      <c r="C14" s="28"/>
      <c r="D14" s="28"/>
      <c r="E14" s="28"/>
      <c r="F14" s="28"/>
      <c r="G14" s="28"/>
      <c r="H14" s="28"/>
    </row>
    <row r="15" s="25" customFormat="1" ht="12.75">
      <c r="B15" s="29" t="s">
        <v>71</v>
      </c>
    </row>
    <row r="16" s="25" customFormat="1" ht="12.75"/>
    <row r="17" s="25" customFormat="1" ht="12.75"/>
  </sheetData>
  <sheetProtection password="F587" sheet="1" objects="1" scenarios="1" selectLockedCells="1"/>
  <mergeCells count="3">
    <mergeCell ref="B5:D5"/>
    <mergeCell ref="F5:H5"/>
    <mergeCell ref="B4: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Header>&amp;C&amp;"Arial,Negrita"&amp;12Catenaria y fondeo. Cálculos.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MasBarco</dc:creator>
  <cp:keywords/>
  <dc:description/>
  <cp:lastModifiedBy>MasBarco</cp:lastModifiedBy>
  <cp:lastPrinted>2008-11-12T12:02:45Z</cp:lastPrinted>
  <dcterms:created xsi:type="dcterms:W3CDTF">2008-10-23T18:54:04Z</dcterms:created>
  <dcterms:modified xsi:type="dcterms:W3CDTF">2008-11-12T12:19:23Z</dcterms:modified>
  <cp:category/>
  <cp:version/>
  <cp:contentType/>
  <cp:contentStatus/>
</cp:coreProperties>
</file>