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85" windowWidth="18555" windowHeight="12780" activeTab="0"/>
  </bookViews>
  <sheets>
    <sheet name="Circulos" sheetId="1" r:id="rId1"/>
    <sheet name="Calc" sheetId="2" r:id="rId2"/>
  </sheets>
  <definedNames/>
  <calcPr fullCalcOnLoad="1"/>
</workbook>
</file>

<file path=xl/sharedStrings.xml><?xml version="1.0" encoding="utf-8"?>
<sst xmlns="http://schemas.openxmlformats.org/spreadsheetml/2006/main" count="213" uniqueCount="64">
  <si>
    <t>Alphecca</t>
  </si>
  <si>
    <t>Capella</t>
  </si>
  <si>
    <t>Denébola</t>
  </si>
  <si>
    <t>hGy (º)</t>
  </si>
  <si>
    <t>A</t>
  </si>
  <si>
    <t>As (º)</t>
  </si>
  <si>
    <t>δ (º)</t>
  </si>
  <si>
    <t>P (º)</t>
  </si>
  <si>
    <t>Z (º)</t>
  </si>
  <si>
    <t>av (º)</t>
  </si>
  <si>
    <t>altura</t>
  </si>
  <si>
    <t>datos astronómicos</t>
  </si>
  <si>
    <t>lo (º)</t>
  </si>
  <si>
    <t>Lo (º)</t>
  </si>
  <si>
    <t>Do</t>
  </si>
  <si>
    <t>Aldebarán</t>
  </si>
  <si>
    <t>Hamal</t>
  </si>
  <si>
    <t>90-δ1</t>
  </si>
  <si>
    <t>90-δ2</t>
  </si>
  <si>
    <t>hG2-hG1</t>
  </si>
  <si>
    <t>B</t>
  </si>
  <si>
    <t>1.- Do,B</t>
  </si>
  <si>
    <t>2.- R,A</t>
  </si>
  <si>
    <t>R</t>
  </si>
  <si>
    <t>90-av2</t>
  </si>
  <si>
    <t>90-av1</t>
  </si>
  <si>
    <t>3.- Cl</t>
  </si>
  <si>
    <t>90-lo</t>
  </si>
  <si>
    <t>altura av (º)</t>
  </si>
  <si>
    <t>Pasos</t>
  </si>
  <si>
    <t>Mimosa</t>
  </si>
  <si>
    <t>Astros</t>
  </si>
  <si>
    <t>medidos</t>
  </si>
  <si>
    <t>Azimut</t>
  </si>
  <si>
    <t>Situación de observ.So1</t>
  </si>
  <si>
    <t>Situación de observ.So2</t>
  </si>
  <si>
    <t>ARCHIVOS DE DATOS</t>
  </si>
  <si>
    <t xml:space="preserve">Situación relativa (+/-1) </t>
  </si>
  <si>
    <t>Situación planteada</t>
  </si>
  <si>
    <t>Sit.relativa</t>
  </si>
  <si>
    <t>Ze (W=-1,E=+1)</t>
  </si>
  <si>
    <t>Z</t>
  </si>
  <si>
    <t>Lon. (º)</t>
  </si>
  <si>
    <t>lat. (º)</t>
  </si>
  <si>
    <t>Situac. de observación</t>
  </si>
  <si>
    <t xml:space="preserve">Azimut Ze (W=-1,E=+1) </t>
  </si>
  <si>
    <t>Sit. observac.So1</t>
  </si>
  <si>
    <t>Sit. observac.So2</t>
  </si>
  <si>
    <t xml:space="preserve">Situac.rel. (+/-1) </t>
  </si>
  <si>
    <t xml:space="preserve">fecha y hora (TU) </t>
  </si>
  <si>
    <t>La Taberna del Puerto</t>
  </si>
  <si>
    <t>INSTRUCCIONES:</t>
  </si>
  <si>
    <t>Resultados</t>
  </si>
  <si>
    <t>Introducción de datos.</t>
  </si>
  <si>
    <t>NOTAS:</t>
  </si>
  <si>
    <r>
      <t xml:space="preserve">Se presentan en los recuadros </t>
    </r>
    <r>
      <rPr>
        <b/>
        <sz val="10"/>
        <rFont val="Arial"/>
        <family val="2"/>
      </rPr>
      <t>Situación de observ.So1</t>
    </r>
    <r>
      <rPr>
        <sz val="10"/>
        <rFont val="Arial"/>
        <family val="2"/>
      </rPr>
      <t xml:space="preserve"> y </t>
    </r>
    <r>
      <rPr>
        <b/>
        <sz val="10"/>
        <rFont val="Arial"/>
        <family val="2"/>
      </rPr>
      <t>Situación de observ.So2</t>
    </r>
    <r>
      <rPr>
        <sz val="10"/>
        <rFont val="Arial"/>
        <family val="2"/>
      </rPr>
      <t xml:space="preserve"> las dos posibles situaciones de observación así como los azimutes de cada astro, Si nuestra estimación de posición relativa es correcta en el primer recuadro de resultados se presentará nuestra posición real. Aún con estimaciones incorrectas de nuestra posición relativa la hoja obtiene las dos posibles situaciones de observación.</t>
    </r>
  </si>
  <si>
    <t>Autor: MasBarco</t>
  </si>
  <si>
    <t>Nombre: Círculos de altura iguales v1.1</t>
  </si>
  <si>
    <t>Resultados: Situación planteada</t>
  </si>
  <si>
    <t>Resultados: Situaciones de observación</t>
  </si>
  <si>
    <r>
      <t xml:space="preserve">En el cuadro </t>
    </r>
    <r>
      <rPr>
        <b/>
        <sz val="10"/>
        <rFont val="Arial"/>
        <family val="2"/>
      </rPr>
      <t>Situación planteada</t>
    </r>
    <r>
      <rPr>
        <sz val="10"/>
        <rFont val="Arial"/>
        <family val="2"/>
      </rPr>
      <t xml:space="preserve"> se presentan los cálculos detallados correspondientes a los suministrados como posición relativa, dando los resultados de posición y azimut con fondo azul si son correctos y cambiando el color de fondo en caso contrario.</t>
    </r>
  </si>
  <si>
    <t>DESCRIPCIÓN: Esta hoja de cálculo obtiene, a partir de los datos procedentes de dos observaciones simultáneas la situación de observación por el método de círculos de altura iguales.</t>
  </si>
  <si>
    <r>
      <t xml:space="preserve">En las filas 3 y 4 introducir en los recuadros con fondo verde los datos de altura verdadera </t>
    </r>
    <r>
      <rPr>
        <b/>
        <sz val="10"/>
        <rFont val="Arial"/>
        <family val="2"/>
      </rPr>
      <t>av</t>
    </r>
    <r>
      <rPr>
        <sz val="10"/>
        <rFont val="Arial"/>
        <family val="2"/>
      </rPr>
      <t xml:space="preserve"> y astronómicos de los dos astros así como su posición relativa a la nuestra supuesta, tanto en azimut (filas 3 y 4) como </t>
    </r>
    <r>
      <rPr>
        <i/>
        <sz val="10"/>
        <rFont val="Arial"/>
        <family val="2"/>
      </rPr>
      <t>por encima</t>
    </r>
    <r>
      <rPr>
        <sz val="10"/>
        <rFont val="Arial"/>
        <family val="2"/>
      </rPr>
      <t xml:space="preserve"> o </t>
    </r>
    <r>
      <rPr>
        <i/>
        <sz val="10"/>
        <rFont val="Arial"/>
        <family val="2"/>
      </rPr>
      <t>por debajo</t>
    </r>
    <r>
      <rPr>
        <sz val="10"/>
        <rFont val="Arial"/>
        <family val="2"/>
      </rPr>
      <t xml:space="preserve"> de uno o de los dos astros (fila 5). NOTA 1: Las latitudes y las declinaciones Sur y las longitudes Oeste se introducen como negativas. NOTA 2: Si se introducen valores fuera de rango, como una altura verdadera </t>
    </r>
    <r>
      <rPr>
        <b/>
        <sz val="10"/>
        <rFont val="Arial"/>
        <family val="2"/>
      </rPr>
      <t>av</t>
    </r>
    <r>
      <rPr>
        <sz val="10"/>
        <rFont val="Arial"/>
        <family val="2"/>
      </rPr>
      <t xml:space="preserve"> negativa o mayor de 90º, el color de fondo del dato cambiará de verde a amarillo. Los cálculos se realizan igualmente (normalmente mal).</t>
    </r>
  </si>
  <si>
    <r>
      <t xml:space="preserve">Se puede introducir los datos directamente en las filas 3 y 4 o bien en las filas por debajo de </t>
    </r>
    <r>
      <rPr>
        <b/>
        <sz val="10"/>
        <rFont val="Arial"/>
        <family val="2"/>
      </rPr>
      <t>Archivos de Datos</t>
    </r>
    <r>
      <rPr>
        <sz val="10"/>
        <rFont val="Arial"/>
        <family val="2"/>
      </rPr>
      <t>, por ejemplo en las filas 49 a 51, para posteriormente seleccionar los cuadros, en este caso de A49 a H51, y copiarlos (de A3 a H5). Si se crean nuevos archivos de datos es conveniente copiar primero el formato de uno de los anteriores y luego rellenarlos, para conservar las utilidades de revisión de los datos y su formato.</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</si>
</sst>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00_ ;[Red]\-0.0000\ "/>
    <numFmt numFmtId="166" formatCode="0.0_ ;[Red]\-0.0\ "/>
    <numFmt numFmtId="167" formatCode="0_ ;[Red]\-0\ "/>
    <numFmt numFmtId="168" formatCode="&quot;Yes&quot;;&quot;Yes&quot;;&quot;No&quot;"/>
    <numFmt numFmtId="169" formatCode="&quot;True&quot;;&quot;True&quot;;&quot;False&quot;"/>
    <numFmt numFmtId="170" formatCode="&quot;On&quot;;&quot;On&quot;;&quot;Off&quot;"/>
    <numFmt numFmtId="171" formatCode="[$€-2]\ #,##0.00_);[Red]\([$€-2]\ #,##0.00\)"/>
    <numFmt numFmtId="172" formatCode="_-* #,##0.0\ _€_-;\-* #,##0.0\ _€_-;_-* &quot;-&quot;??\ _€_-;_-@_-"/>
    <numFmt numFmtId="173" formatCode="_-* #,##0\ _€_-;\-* #,##0\ _€_-;_-* &quot;-&quot;??\ _€_-;_-@_-"/>
    <numFmt numFmtId="174" formatCode="0.000_ ;[Red]\-0.000\ "/>
    <numFmt numFmtId="175" formatCode="0.00000_ ;[Red]\-0.00000\ "/>
    <numFmt numFmtId="176" formatCode="0.000000_ ;[Red]\-0.000000\ "/>
    <numFmt numFmtId="177" formatCode="0.0000000_ ;[Red]\-0.0000000\ "/>
    <numFmt numFmtId="178" formatCode="0.00000000_ ;[Red]\-0.00000000\ "/>
    <numFmt numFmtId="179" formatCode="0.000000000_ ;[Red]\-0.000000000\ "/>
    <numFmt numFmtId="180" formatCode="0.0000000000_ ;[Red]\-0.0000000000\ "/>
    <numFmt numFmtId="181" formatCode="0.00000000000_ ;[Red]\-0.00000000000\ "/>
    <numFmt numFmtId="182" formatCode="0.000000000000_ ;[Red]\-0.000000000000\ "/>
    <numFmt numFmtId="183" formatCode="0.0000000000000_ ;[Red]\-0.0000000000000\ "/>
    <numFmt numFmtId="184" formatCode="0.00000000000000_ ;[Red]\-0.00000000000000\ "/>
    <numFmt numFmtId="185" formatCode="0.000000000000000_ ;[Red]\-0.000000000000000\ "/>
    <numFmt numFmtId="186" formatCode="0.0000000000000000_ ;[Red]\-0.0000000000000000\ "/>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00000000"/>
    <numFmt numFmtId="200" formatCode="0.0000000000000000"/>
    <numFmt numFmtId="201" formatCode="0.00000000000000000"/>
    <numFmt numFmtId="202" formatCode="0.000000000000000000"/>
    <numFmt numFmtId="203" formatCode="0.0000000000000000000"/>
    <numFmt numFmtId="204" formatCode="0.00000000000000000000"/>
    <numFmt numFmtId="205" formatCode="0.000000000000000000000"/>
    <numFmt numFmtId="206" formatCode="hh:mm;@"/>
    <numFmt numFmtId="207" formatCode="hh:mm:ss;@"/>
    <numFmt numFmtId="208" formatCode="[$-40A]dddd\,\ dd&quot; de &quot;mmmm&quot; de &quot;yyyy"/>
    <numFmt numFmtId="209" formatCode="d/mm/yy;@"/>
    <numFmt numFmtId="210" formatCode="[$-F400]h:mm:ss\ AM/PM"/>
    <numFmt numFmtId="211" formatCode="h:mm:ss;@"/>
    <numFmt numFmtId="212" formatCode="0.000000000000000000000000000_ ;[Red]\-0.000000000000000000000000000\ "/>
    <numFmt numFmtId="213" formatCode="0.00000000000000000000000000_ ;[Red]\-0.00000000000000000000000000\ "/>
    <numFmt numFmtId="214" formatCode="0.0000000000000000000000000_ ;[Red]\-0.0000000000000000000000000\ "/>
    <numFmt numFmtId="215" formatCode="0.000000000000000000000000_ ;[Red]\-0.000000000000000000000000\ "/>
    <numFmt numFmtId="216" formatCode="0.00000000000000000000000_ ;[Red]\-0.00000000000000000000000\ "/>
    <numFmt numFmtId="217" formatCode="0.0000000000000000000000_ ;[Red]\-0.0000000000000000000000\ "/>
    <numFmt numFmtId="218" formatCode="0.000000000000000000000_ ;[Red]\-0.000000000000000000000\ "/>
    <numFmt numFmtId="219" formatCode="0.00000000000000000000_ ;[Red]\-0.00000000000000000000\ "/>
    <numFmt numFmtId="220" formatCode="0.0000000000000000000_ ;[Red]\-0.0000000000000000000\ "/>
    <numFmt numFmtId="221" formatCode="0.000000000000000000_ ;[Red]\-0.000000000000000000\ "/>
    <numFmt numFmtId="222" formatCode="0.00000000000000000_ ;[Red]\-0.00000000000000000\ "/>
    <numFmt numFmtId="223" formatCode="0.0000000000000000000000000000_ ;[Red]\-0.0000000000000000000000000000\ "/>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9"/>
      <name val="Arial"/>
      <family val="0"/>
    </font>
    <font>
      <i/>
      <sz val="10"/>
      <name val="Arial"/>
      <family val="2"/>
    </font>
    <font>
      <b/>
      <sz val="11"/>
      <name val="Arial"/>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52">
    <border>
      <left/>
      <right/>
      <top/>
      <bottom/>
      <diagonal/>
    </border>
    <border>
      <left style="medium">
        <color indexed="23"/>
      </left>
      <right style="thin">
        <color indexed="23"/>
      </right>
      <top style="medium">
        <color indexed="23"/>
      </top>
      <bottom>
        <color indexed="63"/>
      </bottom>
    </border>
    <border>
      <left style="thin">
        <color indexed="23"/>
      </left>
      <right style="thin">
        <color indexed="23"/>
      </right>
      <top style="medium">
        <color indexed="23"/>
      </top>
      <bottom>
        <color indexed="6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color indexed="63"/>
      </left>
      <right style="thin">
        <color indexed="22"/>
      </right>
      <top style="thin">
        <color indexed="9"/>
      </top>
      <bottom style="thin">
        <color indexed="9"/>
      </bottom>
    </border>
    <border>
      <left>
        <color indexed="63"/>
      </left>
      <right style="thin">
        <color indexed="22"/>
      </right>
      <top style="thin">
        <color indexed="22"/>
      </top>
      <bottom style="thin">
        <color indexed="22"/>
      </bottom>
    </border>
    <border>
      <left style="medium">
        <color indexed="23"/>
      </left>
      <right style="thin">
        <color indexed="23"/>
      </right>
      <top>
        <color indexed="63"/>
      </top>
      <bottom style="thin">
        <color indexed="22"/>
      </bottom>
    </border>
    <border>
      <left style="thin">
        <color indexed="23"/>
      </left>
      <right style="thin">
        <color indexed="23"/>
      </right>
      <top>
        <color indexed="63"/>
      </top>
      <bottom style="thin">
        <color indexed="22"/>
      </bottom>
    </border>
    <border>
      <left style="thin">
        <color indexed="23"/>
      </left>
      <right style="thin">
        <color indexed="23"/>
      </right>
      <top style="thin">
        <color indexed="23"/>
      </top>
      <bottom style="thin">
        <color indexed="22"/>
      </bottom>
    </border>
    <border>
      <left style="thin">
        <color indexed="23"/>
      </left>
      <right style="medium">
        <color indexed="23"/>
      </right>
      <top style="thin">
        <color indexed="23"/>
      </top>
      <bottom style="thin">
        <color indexed="22"/>
      </bottom>
    </border>
    <border>
      <left style="thin">
        <color indexed="22"/>
      </left>
      <right style="thin">
        <color indexed="22"/>
      </right>
      <top style="thin">
        <color indexed="22"/>
      </top>
      <bottom style="thin">
        <color indexed="22"/>
      </bottom>
    </border>
    <border>
      <left style="medium">
        <color indexed="23"/>
      </left>
      <right style="thin">
        <color indexed="22"/>
      </right>
      <top style="thin">
        <color indexed="22"/>
      </top>
      <bottom style="medium">
        <color indexed="23"/>
      </bottom>
    </border>
    <border>
      <left style="thin">
        <color indexed="22"/>
      </left>
      <right style="thin">
        <color indexed="22"/>
      </right>
      <top style="thin">
        <color indexed="22"/>
      </top>
      <bottom style="medium">
        <color indexed="23"/>
      </bottom>
    </border>
    <border>
      <left style="medium">
        <color indexed="9"/>
      </left>
      <right style="medium">
        <color indexed="9"/>
      </right>
      <top style="medium">
        <color indexed="23"/>
      </top>
      <bottom>
        <color indexed="63"/>
      </bottom>
    </border>
    <border>
      <left style="medium">
        <color indexed="23"/>
      </left>
      <right style="thin">
        <color indexed="23"/>
      </right>
      <top style="medium">
        <color indexed="23"/>
      </top>
      <bottom style="thin">
        <color indexed="22"/>
      </bottom>
    </border>
    <border>
      <left style="thin">
        <color indexed="23"/>
      </left>
      <right style="thin">
        <color indexed="23"/>
      </right>
      <top style="medium">
        <color indexed="23"/>
      </top>
      <bottom style="thin">
        <color indexed="22"/>
      </bottom>
    </border>
    <border>
      <left style="thin">
        <color indexed="23"/>
      </left>
      <right style="medium">
        <color indexed="23"/>
      </right>
      <top style="medium">
        <color indexed="23"/>
      </top>
      <bottom style="thin">
        <color indexed="22"/>
      </bottom>
    </border>
    <border>
      <left style="medium">
        <color indexed="2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medium">
        <color indexed="23"/>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style="medium">
        <color indexed="2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medium">
        <color indexed="23"/>
      </bottom>
    </border>
    <border>
      <left>
        <color indexed="63"/>
      </left>
      <right style="medium">
        <color indexed="23"/>
      </right>
      <top style="thin">
        <color indexed="22"/>
      </top>
      <bottom style="medium">
        <color indexed="23"/>
      </bottom>
    </border>
    <border>
      <left style="medium">
        <color indexed="23"/>
      </left>
      <right style="thin">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22"/>
      </left>
      <right style="medium">
        <color indexed="23"/>
      </right>
      <top style="thin">
        <color indexed="22"/>
      </top>
      <bottom style="thin">
        <color indexed="22"/>
      </bottom>
    </border>
    <border>
      <left style="thin">
        <color indexed="9"/>
      </left>
      <right style="thin">
        <color indexed="9"/>
      </right>
      <top>
        <color indexed="63"/>
      </top>
      <bottom style="thin">
        <color indexed="22"/>
      </bottom>
    </border>
    <border>
      <left style="thin">
        <color indexed="22"/>
      </left>
      <right style="thin">
        <color indexed="22"/>
      </right>
      <top style="thin">
        <color indexed="9"/>
      </top>
      <bottom style="thin">
        <color indexed="9"/>
      </bottom>
    </border>
    <border>
      <left style="thin">
        <color indexed="22"/>
      </left>
      <right style="thin">
        <color indexed="22"/>
      </right>
      <top>
        <color indexed="63"/>
      </top>
      <bottom>
        <color indexed="63"/>
      </bottom>
    </border>
    <border>
      <left style="medium">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23"/>
      </left>
      <right style="thin">
        <color indexed="23"/>
      </right>
      <top style="thin">
        <color indexed="22"/>
      </top>
      <bottom style="thin">
        <color indexed="22"/>
      </bottom>
    </border>
    <border>
      <left style="thin">
        <color indexed="23"/>
      </left>
      <right style="thin">
        <color indexed="23"/>
      </right>
      <top style="thin">
        <color indexed="22"/>
      </top>
      <bottom style="thin">
        <color indexed="22"/>
      </bottom>
    </border>
    <border>
      <left style="thin">
        <color indexed="22"/>
      </left>
      <right style="medium">
        <color indexed="23"/>
      </right>
      <top>
        <color indexed="63"/>
      </top>
      <bottom style="medium">
        <color indexed="23"/>
      </bottom>
    </border>
    <border>
      <left style="thin">
        <color indexed="22"/>
      </left>
      <right style="medium">
        <color indexed="23"/>
      </right>
      <top style="thin">
        <color indexed="9"/>
      </top>
      <bottom style="thin">
        <color indexed="9"/>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medium">
        <color indexed="23"/>
      </bottom>
    </border>
    <border>
      <left style="thin">
        <color indexed="23"/>
      </left>
      <right style="thin">
        <color indexed="23"/>
      </right>
      <top style="thin">
        <color indexed="22"/>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164" fontId="0" fillId="0" borderId="0" xfId="0" applyNumberFormat="1" applyBorder="1" applyAlignment="1">
      <alignment horizontal="center"/>
    </xf>
    <xf numFmtId="164" fontId="1" fillId="0" borderId="0" xfId="0" applyNumberFormat="1" applyFont="1" applyBorder="1" applyAlignment="1">
      <alignment horizontal="center"/>
    </xf>
    <xf numFmtId="176" fontId="1" fillId="2" borderId="0" xfId="0" applyNumberFormat="1" applyFont="1" applyFill="1" applyBorder="1" applyAlignment="1">
      <alignment horizontal="center"/>
    </xf>
    <xf numFmtId="164" fontId="0" fillId="0" borderId="0" xfId="0" applyNumberFormat="1" applyFill="1" applyBorder="1" applyAlignment="1">
      <alignment/>
    </xf>
    <xf numFmtId="164" fontId="0" fillId="0" borderId="0" xfId="0" applyNumberFormat="1" applyFill="1" applyBorder="1" applyAlignment="1">
      <alignment horizontal="center"/>
    </xf>
    <xf numFmtId="164" fontId="1" fillId="0" borderId="0" xfId="0" applyNumberFormat="1" applyFont="1" applyFill="1" applyBorder="1" applyAlignment="1">
      <alignment horizontal="center"/>
    </xf>
    <xf numFmtId="167" fontId="0" fillId="3" borderId="0" xfId="0" applyNumberFormat="1" applyFill="1" applyBorder="1" applyAlignment="1">
      <alignment horizontal="center" vertical="center"/>
    </xf>
    <xf numFmtId="164" fontId="0" fillId="0" borderId="0" xfId="0" applyNumberFormat="1" applyBorder="1" applyAlignment="1">
      <alignment/>
    </xf>
    <xf numFmtId="164" fontId="0" fillId="0" borderId="0" xfId="0" applyNumberFormat="1" applyFill="1" applyBorder="1" applyAlignment="1">
      <alignment/>
    </xf>
    <xf numFmtId="176" fontId="0" fillId="0" borderId="0" xfId="0" applyNumberFormat="1" applyBorder="1" applyAlignment="1">
      <alignment horizontal="center"/>
    </xf>
    <xf numFmtId="176" fontId="0" fillId="0" borderId="0" xfId="0" applyNumberFormat="1" applyFill="1" applyBorder="1" applyAlignment="1">
      <alignment horizontal="center"/>
    </xf>
    <xf numFmtId="176" fontId="1" fillId="0" borderId="0" xfId="0" applyNumberFormat="1" applyFont="1" applyFill="1" applyBorder="1" applyAlignment="1">
      <alignment horizontal="center"/>
    </xf>
    <xf numFmtId="165" fontId="0" fillId="0" borderId="0" xfId="0" applyNumberFormat="1" applyFill="1" applyBorder="1" applyAlignment="1">
      <alignment horizontal="center"/>
    </xf>
    <xf numFmtId="176" fontId="0" fillId="2" borderId="0" xfId="0" applyNumberFormat="1" applyFill="1" applyBorder="1" applyAlignment="1">
      <alignment horizontal="center"/>
    </xf>
    <xf numFmtId="164" fontId="0" fillId="0" borderId="0" xfId="0" applyNumberFormat="1" applyBorder="1" applyAlignment="1">
      <alignment horizontal="left"/>
    </xf>
    <xf numFmtId="167" fontId="0" fillId="4" borderId="0" xfId="0" applyNumberFormat="1" applyFill="1" applyBorder="1" applyAlignment="1">
      <alignment horizontal="center"/>
    </xf>
    <xf numFmtId="164" fontId="0" fillId="0" borderId="0" xfId="0" applyNumberFormat="1" applyFont="1" applyBorder="1" applyAlignment="1">
      <alignment horizontal="left"/>
    </xf>
    <xf numFmtId="164" fontId="0" fillId="0" borderId="0" xfId="0" applyNumberFormat="1" applyFont="1" applyBorder="1" applyAlignment="1">
      <alignment horizontal="right"/>
    </xf>
    <xf numFmtId="167" fontId="0" fillId="3" borderId="0" xfId="0" applyNumberFormat="1" applyFill="1" applyBorder="1" applyAlignment="1">
      <alignment horizontal="center"/>
    </xf>
    <xf numFmtId="176" fontId="0" fillId="0" borderId="0" xfId="0" applyNumberFormat="1" applyFill="1" applyBorder="1" applyAlignment="1">
      <alignment/>
    </xf>
    <xf numFmtId="164" fontId="0" fillId="0" borderId="0" xfId="0" applyNumberFormat="1" applyFill="1" applyBorder="1" applyAlignment="1">
      <alignment horizontal="right"/>
    </xf>
    <xf numFmtId="167" fontId="0" fillId="0" borderId="0" xfId="0" applyNumberFormat="1" applyFill="1" applyBorder="1" applyAlignment="1">
      <alignment horizontal="center" vertical="center"/>
    </xf>
    <xf numFmtId="164" fontId="1" fillId="5" borderId="1" xfId="0" applyNumberFormat="1" applyFont="1" applyFill="1" applyBorder="1" applyAlignment="1" applyProtection="1">
      <alignment horizontal="center"/>
      <protection/>
    </xf>
    <xf numFmtId="176" fontId="1" fillId="5" borderId="2" xfId="0" applyNumberFormat="1" applyFont="1" applyFill="1" applyBorder="1" applyAlignment="1" applyProtection="1">
      <alignment horizontal="center"/>
      <protection/>
    </xf>
    <xf numFmtId="176" fontId="1" fillId="5" borderId="3" xfId="0" applyNumberFormat="1" applyFont="1" applyFill="1" applyBorder="1" applyAlignment="1" applyProtection="1">
      <alignment horizontal="center"/>
      <protection/>
    </xf>
    <xf numFmtId="49" fontId="1" fillId="5" borderId="2" xfId="0" applyNumberFormat="1" applyFont="1" applyFill="1" applyBorder="1" applyAlignment="1" applyProtection="1">
      <alignment horizontal="center"/>
      <protection/>
    </xf>
    <xf numFmtId="164" fontId="1" fillId="5" borderId="3" xfId="0" applyNumberFormat="1" applyFont="1" applyFill="1" applyBorder="1" applyAlignment="1" applyProtection="1">
      <alignment horizontal="center"/>
      <protection/>
    </xf>
    <xf numFmtId="164" fontId="1" fillId="5" borderId="4" xfId="0" applyNumberFormat="1" applyFont="1" applyFill="1" applyBorder="1" applyAlignment="1" applyProtection="1">
      <alignment horizontal="center"/>
      <protection/>
    </xf>
    <xf numFmtId="164" fontId="1" fillId="0" borderId="5" xfId="0" applyNumberFormat="1" applyFont="1" applyBorder="1" applyAlignment="1" applyProtection="1">
      <alignment/>
      <protection/>
    </xf>
    <xf numFmtId="164" fontId="1" fillId="0" borderId="6" xfId="0" applyNumberFormat="1" applyFont="1" applyBorder="1" applyAlignment="1" applyProtection="1">
      <alignment/>
      <protection/>
    </xf>
    <xf numFmtId="164" fontId="1" fillId="5" borderId="7" xfId="0" applyNumberFormat="1" applyFont="1" applyFill="1" applyBorder="1" applyAlignment="1" applyProtection="1">
      <alignment horizontal="center"/>
      <protection/>
    </xf>
    <xf numFmtId="176" fontId="1" fillId="5" borderId="8" xfId="0" applyNumberFormat="1" applyFont="1" applyFill="1" applyBorder="1" applyAlignment="1" applyProtection="1">
      <alignment horizontal="center"/>
      <protection/>
    </xf>
    <xf numFmtId="176" fontId="1" fillId="5" borderId="9" xfId="0" applyNumberFormat="1" applyFont="1" applyFill="1" applyBorder="1" applyAlignment="1" applyProtection="1">
      <alignment horizontal="center"/>
      <protection/>
    </xf>
    <xf numFmtId="49" fontId="1" fillId="5" borderId="8" xfId="0" applyNumberFormat="1" applyFont="1" applyFill="1" applyBorder="1" applyAlignment="1" applyProtection="1">
      <alignment horizontal="center"/>
      <protection/>
    </xf>
    <xf numFmtId="167" fontId="1" fillId="5" borderId="9" xfId="0" applyNumberFormat="1" applyFont="1" applyFill="1" applyBorder="1" applyAlignment="1" applyProtection="1">
      <alignment horizontal="center"/>
      <protection/>
    </xf>
    <xf numFmtId="167" fontId="1" fillId="5" borderId="10" xfId="0" applyNumberFormat="1" applyFont="1" applyFill="1" applyBorder="1" applyAlignment="1" applyProtection="1">
      <alignment horizontal="center"/>
      <protection/>
    </xf>
    <xf numFmtId="0" fontId="0" fillId="0" borderId="5" xfId="0" applyBorder="1" applyAlignment="1" applyProtection="1">
      <alignment/>
      <protection/>
    </xf>
    <xf numFmtId="0" fontId="0" fillId="0" borderId="11" xfId="0" applyBorder="1" applyAlignment="1" applyProtection="1">
      <alignment/>
      <protection/>
    </xf>
    <xf numFmtId="164" fontId="0" fillId="0" borderId="12" xfId="0" applyNumberFormat="1" applyBorder="1" applyAlignment="1" applyProtection="1">
      <alignment horizontal="right"/>
      <protection/>
    </xf>
    <xf numFmtId="209" fontId="0" fillId="0" borderId="13" xfId="0" applyNumberFormat="1" applyFill="1" applyBorder="1" applyAlignment="1" applyProtection="1">
      <alignment horizontal="center"/>
      <protection/>
    </xf>
    <xf numFmtId="207" fontId="0" fillId="0" borderId="13" xfId="0" applyNumberFormat="1" applyFill="1" applyBorder="1" applyAlignment="1" applyProtection="1">
      <alignment horizontal="center"/>
      <protection/>
    </xf>
    <xf numFmtId="164" fontId="0" fillId="0" borderId="13" xfId="0" applyNumberFormat="1" applyFont="1" applyFill="1" applyBorder="1" applyAlignment="1" applyProtection="1">
      <alignment horizontal="right"/>
      <protection/>
    </xf>
    <xf numFmtId="0" fontId="0" fillId="0" borderId="14" xfId="0" applyBorder="1" applyAlignment="1" applyProtection="1">
      <alignment horizontal="left"/>
      <protection/>
    </xf>
    <xf numFmtId="176" fontId="0" fillId="0" borderId="14" xfId="0" applyNumberFormat="1" applyBorder="1" applyAlignment="1" applyProtection="1">
      <alignment horizontal="center"/>
      <protection/>
    </xf>
    <xf numFmtId="209" fontId="0" fillId="0" borderId="14" xfId="0" applyNumberFormat="1" applyFill="1" applyBorder="1" applyAlignment="1" applyProtection="1">
      <alignment horizontal="center"/>
      <protection/>
    </xf>
    <xf numFmtId="0" fontId="0" fillId="0" borderId="14" xfId="0" applyBorder="1" applyAlignment="1" applyProtection="1">
      <alignment horizontal="center"/>
      <protection/>
    </xf>
    <xf numFmtId="164" fontId="1" fillId="5" borderId="15" xfId="0" applyNumberFormat="1" applyFont="1" applyFill="1" applyBorder="1" applyAlignment="1" applyProtection="1">
      <alignment horizontal="center"/>
      <protection/>
    </xf>
    <xf numFmtId="176" fontId="1" fillId="5" borderId="16" xfId="0" applyNumberFormat="1" applyFont="1" applyFill="1" applyBorder="1" applyAlignment="1" applyProtection="1">
      <alignment horizontal="center"/>
      <protection/>
    </xf>
    <xf numFmtId="49" fontId="1" fillId="5" borderId="16" xfId="0" applyNumberFormat="1" applyFont="1" applyFill="1" applyBorder="1" applyAlignment="1" applyProtection="1">
      <alignment horizontal="center"/>
      <protection/>
    </xf>
    <xf numFmtId="167" fontId="1" fillId="5" borderId="16" xfId="0" applyNumberFormat="1" applyFont="1" applyFill="1" applyBorder="1" applyAlignment="1" applyProtection="1">
      <alignment horizontal="center"/>
      <protection/>
    </xf>
    <xf numFmtId="167" fontId="1" fillId="5" borderId="17" xfId="0" applyNumberFormat="1" applyFont="1" applyFill="1" applyBorder="1" applyAlignment="1" applyProtection="1">
      <alignment horizontal="center"/>
      <protection/>
    </xf>
    <xf numFmtId="164" fontId="1" fillId="0" borderId="5" xfId="0" applyNumberFormat="1" applyFont="1" applyFill="1" applyBorder="1" applyAlignment="1" applyProtection="1">
      <alignment/>
      <protection/>
    </xf>
    <xf numFmtId="164" fontId="0" fillId="0" borderId="18" xfId="0" applyNumberFormat="1" applyBorder="1" applyAlignment="1" applyProtection="1">
      <alignment horizontal="left"/>
      <protection/>
    </xf>
    <xf numFmtId="164" fontId="0" fillId="0" borderId="11" xfId="0" applyNumberFormat="1" applyBorder="1" applyAlignment="1" applyProtection="1">
      <alignment horizontal="center" vertical="center"/>
      <protection/>
    </xf>
    <xf numFmtId="176" fontId="0" fillId="0" borderId="11" xfId="0" applyNumberFormat="1" applyFill="1" applyBorder="1" applyAlignment="1" applyProtection="1">
      <alignment horizontal="center" vertical="center"/>
      <protection/>
    </xf>
    <xf numFmtId="164" fontId="1" fillId="2" borderId="11" xfId="0" applyNumberFormat="1" applyFont="1" applyFill="1" applyBorder="1" applyAlignment="1" applyProtection="1">
      <alignment horizontal="center" vertical="center"/>
      <protection/>
    </xf>
    <xf numFmtId="176" fontId="1" fillId="2" borderId="19" xfId="0" applyNumberFormat="1" applyFont="1" applyFill="1" applyBorder="1" applyAlignment="1" applyProtection="1">
      <alignment horizontal="center"/>
      <protection/>
    </xf>
    <xf numFmtId="176" fontId="1" fillId="2" borderId="20" xfId="0" applyNumberFormat="1" applyFont="1" applyFill="1" applyBorder="1" applyAlignment="1" applyProtection="1">
      <alignment horizontal="center"/>
      <protection/>
    </xf>
    <xf numFmtId="176" fontId="0" fillId="0" borderId="5" xfId="0" applyNumberFormat="1" applyFill="1" applyBorder="1" applyAlignment="1" applyProtection="1">
      <alignment horizontal="center"/>
      <protection/>
    </xf>
    <xf numFmtId="176" fontId="0" fillId="0" borderId="21" xfId="0" applyNumberFormat="1" applyFill="1" applyBorder="1" applyAlignment="1" applyProtection="1">
      <alignment horizontal="center"/>
      <protection/>
    </xf>
    <xf numFmtId="164" fontId="0" fillId="0" borderId="18" xfId="0" applyNumberFormat="1" applyFill="1" applyBorder="1" applyAlignment="1" applyProtection="1">
      <alignment horizontal="left"/>
      <protection/>
    </xf>
    <xf numFmtId="164" fontId="1" fillId="2" borderId="22" xfId="0" applyNumberFormat="1" applyFont="1" applyFill="1" applyBorder="1" applyAlignment="1" applyProtection="1">
      <alignment horizontal="center" vertical="center"/>
      <protection/>
    </xf>
    <xf numFmtId="164" fontId="1" fillId="2" borderId="23" xfId="0" applyNumberFormat="1" applyFont="1" applyFill="1" applyBorder="1" applyAlignment="1" applyProtection="1">
      <alignment horizontal="center" vertical="center"/>
      <protection/>
    </xf>
    <xf numFmtId="0" fontId="0" fillId="0" borderId="5" xfId="0" applyFill="1" applyBorder="1" applyAlignment="1" applyProtection="1">
      <alignment/>
      <protection/>
    </xf>
    <xf numFmtId="0" fontId="0" fillId="0" borderId="24" xfId="0" applyFill="1" applyBorder="1" applyAlignment="1" applyProtection="1">
      <alignment/>
      <protection/>
    </xf>
    <xf numFmtId="167" fontId="1" fillId="2" borderId="13" xfId="0" applyNumberFormat="1" applyFont="1" applyFill="1" applyBorder="1" applyAlignment="1" applyProtection="1">
      <alignment horizontal="center" vertic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176" fontId="0" fillId="0" borderId="14" xfId="0" applyNumberFormat="1" applyFill="1" applyBorder="1" applyAlignment="1" applyProtection="1">
      <alignment horizontal="center"/>
      <protection/>
    </xf>
    <xf numFmtId="0" fontId="0" fillId="0" borderId="14" xfId="0" applyFill="1" applyBorder="1" applyAlignment="1" applyProtection="1">
      <alignment horizontal="center"/>
      <protection/>
    </xf>
    <xf numFmtId="190" fontId="0" fillId="0" borderId="14" xfId="0" applyNumberFormat="1" applyFill="1" applyBorder="1" applyAlignment="1" applyProtection="1">
      <alignment horizontal="center"/>
      <protection/>
    </xf>
    <xf numFmtId="176" fontId="0" fillId="0" borderId="6" xfId="0" applyNumberFormat="1" applyFill="1" applyBorder="1" applyAlignment="1" applyProtection="1">
      <alignment horizontal="center"/>
      <protection/>
    </xf>
    <xf numFmtId="176" fontId="0" fillId="0" borderId="5" xfId="0" applyNumberFormat="1" applyFill="1" applyBorder="1" applyAlignment="1" applyProtection="1">
      <alignment horizontal="right"/>
      <protection/>
    </xf>
    <xf numFmtId="176" fontId="1" fillId="5" borderId="16" xfId="0" applyNumberFormat="1" applyFont="1" applyFill="1" applyBorder="1" applyAlignment="1" applyProtection="1">
      <alignment horizontal="center" vertical="justify"/>
      <protection/>
    </xf>
    <xf numFmtId="164" fontId="1" fillId="5" borderId="16" xfId="0" applyNumberFormat="1" applyFont="1" applyFill="1" applyBorder="1" applyAlignment="1" applyProtection="1">
      <alignment horizontal="center" vertical="justify"/>
      <protection/>
    </xf>
    <xf numFmtId="49" fontId="1" fillId="5" borderId="17" xfId="0" applyNumberFormat="1" applyFont="1" applyFill="1" applyBorder="1" applyAlignment="1" applyProtection="1">
      <alignment horizontal="center"/>
      <protection/>
    </xf>
    <xf numFmtId="164" fontId="1" fillId="0" borderId="27" xfId="0" applyNumberFormat="1" applyFont="1" applyFill="1" applyBorder="1" applyAlignment="1" applyProtection="1">
      <alignment horizontal="center" vertical="justify"/>
      <protection/>
    </xf>
    <xf numFmtId="164" fontId="1" fillId="0" borderId="28" xfId="0" applyNumberFormat="1" applyFont="1" applyFill="1" applyBorder="1" applyAlignment="1" applyProtection="1">
      <alignment horizontal="center" vertical="justify"/>
      <protection/>
    </xf>
    <xf numFmtId="164" fontId="1" fillId="0" borderId="5" xfId="0" applyNumberFormat="1" applyFont="1" applyFill="1" applyBorder="1" applyAlignment="1" applyProtection="1">
      <alignment horizontal="center" vertical="justify"/>
      <protection/>
    </xf>
    <xf numFmtId="164" fontId="1" fillId="0" borderId="11" xfId="0" applyNumberFormat="1" applyFont="1" applyBorder="1" applyAlignment="1" applyProtection="1">
      <alignment horizontal="center"/>
      <protection/>
    </xf>
    <xf numFmtId="176" fontId="0" fillId="0" borderId="11" xfId="0" applyNumberFormat="1" applyFill="1" applyBorder="1" applyAlignment="1" applyProtection="1">
      <alignment horizontal="center"/>
      <protection/>
    </xf>
    <xf numFmtId="167" fontId="0" fillId="0" borderId="29" xfId="0" applyNumberFormat="1" applyFill="1" applyBorder="1" applyAlignment="1" applyProtection="1">
      <alignment horizontal="center" vertical="center"/>
      <protection/>
    </xf>
    <xf numFmtId="49" fontId="0" fillId="0" borderId="27" xfId="0" applyNumberFormat="1" applyFont="1" applyFill="1" applyBorder="1" applyAlignment="1" applyProtection="1">
      <alignment horizontal="center" vertical="justify"/>
      <protection/>
    </xf>
    <xf numFmtId="164" fontId="0" fillId="0" borderId="28" xfId="0" applyNumberFormat="1" applyFill="1" applyBorder="1" applyAlignment="1" applyProtection="1">
      <alignment horizontal="center"/>
      <protection/>
    </xf>
    <xf numFmtId="164" fontId="0" fillId="0" borderId="5" xfId="0" applyNumberFormat="1" applyFill="1" applyBorder="1" applyAlignment="1" applyProtection="1">
      <alignment horizontal="center"/>
      <protection/>
    </xf>
    <xf numFmtId="164" fontId="0" fillId="0" borderId="18" xfId="0" applyNumberFormat="1" applyBorder="1" applyAlignment="1" applyProtection="1">
      <alignment horizontal="right"/>
      <protection/>
    </xf>
    <xf numFmtId="209" fontId="0" fillId="0" borderId="11" xfId="0" applyNumberFormat="1" applyFill="1" applyBorder="1" applyAlignment="1" applyProtection="1">
      <alignment horizontal="center"/>
      <protection/>
    </xf>
    <xf numFmtId="207" fontId="0" fillId="0" borderId="11" xfId="0" applyNumberFormat="1" applyFill="1" applyBorder="1" applyAlignment="1" applyProtection="1">
      <alignment horizontal="center"/>
      <protection/>
    </xf>
    <xf numFmtId="164" fontId="0" fillId="0" borderId="11" xfId="0" applyNumberFormat="1" applyFont="1" applyFill="1" applyBorder="1" applyAlignment="1" applyProtection="1">
      <alignment horizontal="right"/>
      <protection/>
    </xf>
    <xf numFmtId="164" fontId="0" fillId="0" borderId="27" xfId="0" applyNumberFormat="1" applyFill="1" applyBorder="1" applyAlignment="1" applyProtection="1">
      <alignment horizontal="center"/>
      <protection/>
    </xf>
    <xf numFmtId="164" fontId="1" fillId="0" borderId="28" xfId="0" applyNumberFormat="1" applyFont="1" applyFill="1" applyBorder="1" applyAlignment="1" applyProtection="1">
      <alignment horizontal="center"/>
      <protection/>
    </xf>
    <xf numFmtId="164" fontId="1" fillId="0" borderId="18" xfId="0" applyNumberFormat="1" applyFont="1" applyBorder="1" applyAlignment="1" applyProtection="1">
      <alignment horizontal="left"/>
      <protection/>
    </xf>
    <xf numFmtId="176" fontId="1" fillId="0" borderId="11" xfId="0" applyNumberFormat="1" applyFont="1" applyBorder="1" applyAlignment="1" applyProtection="1">
      <alignment horizontal="center" vertical="justify"/>
      <protection/>
    </xf>
    <xf numFmtId="176" fontId="1" fillId="0" borderId="11" xfId="0" applyNumberFormat="1" applyFont="1" applyBorder="1" applyAlignment="1" applyProtection="1">
      <alignment horizontal="center"/>
      <protection/>
    </xf>
    <xf numFmtId="164" fontId="1" fillId="0" borderId="29" xfId="0" applyNumberFormat="1" applyFont="1" applyBorder="1" applyAlignment="1" applyProtection="1">
      <alignment horizontal="center"/>
      <protection/>
    </xf>
    <xf numFmtId="164" fontId="1" fillId="0" borderId="27" xfId="0" applyNumberFormat="1" applyFont="1" applyFill="1" applyBorder="1" applyAlignment="1" applyProtection="1">
      <alignment horizontal="center"/>
      <protection/>
    </xf>
    <xf numFmtId="164" fontId="1" fillId="0" borderId="5" xfId="0" applyNumberFormat="1" applyFont="1" applyFill="1" applyBorder="1" applyAlignment="1" applyProtection="1">
      <alignment horizontal="center"/>
      <protection/>
    </xf>
    <xf numFmtId="176" fontId="0" fillId="0" borderId="11" xfId="0" applyNumberFormat="1" applyBorder="1" applyAlignment="1" applyProtection="1">
      <alignment horizontal="center"/>
      <protection/>
    </xf>
    <xf numFmtId="176" fontId="0" fillId="0" borderId="29" xfId="0" applyNumberFormat="1" applyBorder="1" applyAlignment="1" applyProtection="1">
      <alignment horizontal="center"/>
      <protection/>
    </xf>
    <xf numFmtId="176" fontId="1" fillId="0" borderId="5" xfId="0" applyNumberFormat="1" applyFont="1" applyFill="1" applyBorder="1" applyAlignment="1" applyProtection="1">
      <alignment horizontal="center"/>
      <protection/>
    </xf>
    <xf numFmtId="176" fontId="0" fillId="0" borderId="29" xfId="0" applyNumberFormat="1" applyFill="1" applyBorder="1" applyAlignment="1" applyProtection="1">
      <alignment horizontal="center"/>
      <protection/>
    </xf>
    <xf numFmtId="164" fontId="1" fillId="0" borderId="29" xfId="0" applyNumberFormat="1" applyFont="1" applyFill="1" applyBorder="1" applyAlignment="1" applyProtection="1">
      <alignment horizontal="center" vertical="justify"/>
      <protection/>
    </xf>
    <xf numFmtId="176" fontId="1" fillId="2" borderId="29" xfId="0" applyNumberFormat="1" applyFont="1" applyFill="1" applyBorder="1" applyAlignment="1" applyProtection="1">
      <alignment horizontal="center"/>
      <protection/>
    </xf>
    <xf numFmtId="176" fontId="0" fillId="0" borderId="27" xfId="0" applyNumberFormat="1" applyFill="1" applyBorder="1" applyAlignment="1" applyProtection="1">
      <alignment horizontal="center"/>
      <protection/>
    </xf>
    <xf numFmtId="176" fontId="1" fillId="0" borderId="5" xfId="0" applyNumberFormat="1" applyFont="1" applyFill="1" applyBorder="1" applyAlignment="1" applyProtection="1">
      <alignment horizontal="center" vertical="justify"/>
      <protection/>
    </xf>
    <xf numFmtId="176" fontId="1" fillId="2" borderId="11" xfId="0" applyNumberFormat="1" applyFont="1" applyFill="1" applyBorder="1" applyAlignment="1" applyProtection="1">
      <alignment horizontal="center"/>
      <protection/>
    </xf>
    <xf numFmtId="164" fontId="0" fillId="0" borderId="12" xfId="0" applyNumberFormat="1" applyBorder="1" applyAlignment="1" applyProtection="1">
      <alignment horizontal="left"/>
      <protection/>
    </xf>
    <xf numFmtId="176" fontId="0" fillId="0" borderId="13" xfId="0" applyNumberFormat="1" applyBorder="1" applyAlignment="1" applyProtection="1">
      <alignment horizontal="center"/>
      <protection/>
    </xf>
    <xf numFmtId="176" fontId="1" fillId="2" borderId="13" xfId="0" applyNumberFormat="1" applyFont="1" applyFill="1" applyBorder="1" applyAlignment="1" applyProtection="1">
      <alignment horizontal="center"/>
      <protection/>
    </xf>
    <xf numFmtId="0" fontId="0" fillId="0" borderId="30" xfId="0" applyBorder="1" applyAlignment="1" applyProtection="1">
      <alignment horizontal="left"/>
      <protection/>
    </xf>
    <xf numFmtId="176" fontId="1" fillId="0" borderId="30" xfId="0" applyNumberFormat="1" applyFont="1" applyBorder="1" applyAlignment="1" applyProtection="1">
      <alignment horizontal="center"/>
      <protection/>
    </xf>
    <xf numFmtId="164" fontId="1" fillId="4" borderId="19" xfId="0" applyNumberFormat="1" applyFont="1" applyFill="1" applyBorder="1" applyAlignment="1" applyProtection="1">
      <alignment horizontal="center" vertical="center"/>
      <protection/>
    </xf>
    <xf numFmtId="164" fontId="1" fillId="0" borderId="31" xfId="0" applyNumberFormat="1" applyFont="1" applyFill="1" applyBorder="1" applyAlignment="1" applyProtection="1">
      <alignment vertical="center"/>
      <protection/>
    </xf>
    <xf numFmtId="164" fontId="1" fillId="0" borderId="5" xfId="0" applyNumberFormat="1" applyFont="1" applyBorder="1" applyAlignment="1" applyProtection="1">
      <alignment/>
      <protection/>
    </xf>
    <xf numFmtId="164" fontId="1" fillId="0" borderId="5" xfId="0" applyNumberFormat="1" applyFont="1" applyBorder="1" applyAlignment="1" applyProtection="1">
      <alignment horizontal="center"/>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1" xfId="0" applyFill="1" applyBorder="1" applyAlignment="1" applyProtection="1">
      <alignment/>
      <protection/>
    </xf>
    <xf numFmtId="49" fontId="1" fillId="0" borderId="0" xfId="0" applyNumberFormat="1" applyFont="1" applyFill="1" applyBorder="1" applyAlignment="1">
      <alignment horizontal="center"/>
    </xf>
    <xf numFmtId="164" fontId="1" fillId="5" borderId="33" xfId="0" applyNumberFormat="1" applyFont="1" applyFill="1" applyBorder="1" applyAlignment="1">
      <alignment horizontal="center" vertical="justify"/>
    </xf>
    <xf numFmtId="49" fontId="1" fillId="5" borderId="3" xfId="0" applyNumberFormat="1" applyFont="1" applyFill="1" applyBorder="1" applyAlignment="1">
      <alignment vertical="justify"/>
    </xf>
    <xf numFmtId="164" fontId="1" fillId="5" borderId="3" xfId="0" applyNumberFormat="1" applyFont="1" applyFill="1" applyBorder="1" applyAlignment="1">
      <alignment horizontal="center" vertical="justify"/>
    </xf>
    <xf numFmtId="164" fontId="1" fillId="5" borderId="4" xfId="0" applyNumberFormat="1" applyFont="1" applyFill="1" applyBorder="1" applyAlignment="1">
      <alignment horizontal="center" vertical="justify"/>
    </xf>
    <xf numFmtId="164" fontId="0" fillId="3" borderId="34" xfId="0" applyNumberFormat="1" applyFill="1" applyBorder="1" applyAlignment="1">
      <alignment/>
    </xf>
    <xf numFmtId="164" fontId="0" fillId="3" borderId="35" xfId="0" applyNumberFormat="1" applyFill="1" applyBorder="1" applyAlignment="1">
      <alignment/>
    </xf>
    <xf numFmtId="164" fontId="0" fillId="3" borderId="36" xfId="0" applyNumberFormat="1" applyFill="1" applyBorder="1" applyAlignment="1">
      <alignment horizontal="center" vertical="center"/>
    </xf>
    <xf numFmtId="164" fontId="0" fillId="3" borderId="37" xfId="0" applyNumberFormat="1" applyFill="1" applyBorder="1" applyAlignment="1">
      <alignment/>
    </xf>
    <xf numFmtId="164" fontId="0" fillId="3" borderId="38" xfId="0" applyNumberFormat="1" applyFill="1" applyBorder="1" applyAlignment="1">
      <alignment/>
    </xf>
    <xf numFmtId="164" fontId="0" fillId="3" borderId="39" xfId="0" applyNumberFormat="1" applyFill="1" applyBorder="1" applyAlignment="1">
      <alignment horizontal="center" vertical="center"/>
    </xf>
    <xf numFmtId="167" fontId="1" fillId="5" borderId="3" xfId="0" applyNumberFormat="1" applyFont="1" applyFill="1" applyBorder="1" applyAlignment="1">
      <alignment horizontal="center"/>
    </xf>
    <xf numFmtId="164" fontId="1" fillId="5" borderId="4" xfId="0" applyNumberFormat="1" applyFont="1" applyFill="1" applyBorder="1" applyAlignment="1">
      <alignment horizontal="center"/>
    </xf>
    <xf numFmtId="164" fontId="1" fillId="5" borderId="34" xfId="0" applyNumberFormat="1" applyFont="1" applyFill="1" applyBorder="1" applyAlignment="1">
      <alignment horizontal="center"/>
    </xf>
    <xf numFmtId="176" fontId="1" fillId="2" borderId="35" xfId="0" applyNumberFormat="1" applyFont="1" applyFill="1" applyBorder="1" applyAlignment="1">
      <alignment horizontal="center"/>
    </xf>
    <xf numFmtId="176" fontId="1" fillId="2" borderId="35" xfId="0" applyNumberFormat="1" applyFont="1" applyFill="1" applyBorder="1" applyAlignment="1">
      <alignment horizontal="center" vertical="justify"/>
    </xf>
    <xf numFmtId="176" fontId="0" fillId="2" borderId="35" xfId="0" applyNumberFormat="1" applyFill="1" applyBorder="1" applyAlignment="1">
      <alignment horizontal="center"/>
    </xf>
    <xf numFmtId="167" fontId="0" fillId="2" borderId="36" xfId="0" applyNumberFormat="1" applyFill="1" applyBorder="1" applyAlignment="1">
      <alignment horizontal="center"/>
    </xf>
    <xf numFmtId="164" fontId="1" fillId="5" borderId="37" xfId="0" applyNumberFormat="1" applyFont="1" applyFill="1" applyBorder="1" applyAlignment="1">
      <alignment horizontal="center"/>
    </xf>
    <xf numFmtId="176" fontId="1" fillId="2" borderId="38" xfId="0" applyNumberFormat="1" applyFont="1" applyFill="1" applyBorder="1" applyAlignment="1">
      <alignment horizontal="center"/>
    </xf>
    <xf numFmtId="176" fontId="0" fillId="2" borderId="38" xfId="0" applyNumberFormat="1" applyFill="1" applyBorder="1" applyAlignment="1">
      <alignment horizontal="center"/>
    </xf>
    <xf numFmtId="167" fontId="0" fillId="2" borderId="39" xfId="0" applyNumberFormat="1" applyFill="1" applyBorder="1" applyAlignment="1">
      <alignment horizontal="center"/>
    </xf>
    <xf numFmtId="164" fontId="0" fillId="0" borderId="11" xfId="0" applyNumberFormat="1" applyBorder="1" applyAlignment="1" applyProtection="1">
      <alignment horizontal="justify" vertical="top"/>
      <protection hidden="1"/>
    </xf>
    <xf numFmtId="164" fontId="1" fillId="5" borderId="3" xfId="0" applyNumberFormat="1" applyFont="1" applyFill="1" applyBorder="1" applyAlignment="1" applyProtection="1">
      <alignment horizontal="center"/>
      <protection locked="0"/>
    </xf>
    <xf numFmtId="164" fontId="1" fillId="5" borderId="4" xfId="0" applyNumberFormat="1" applyFont="1" applyFill="1" applyBorder="1" applyAlignment="1" applyProtection="1">
      <alignment horizontal="center"/>
      <protection locked="0"/>
    </xf>
    <xf numFmtId="164" fontId="1" fillId="0" borderId="6" xfId="0" applyNumberFormat="1" applyFont="1" applyBorder="1" applyAlignment="1" applyProtection="1">
      <alignment/>
      <protection locked="0"/>
    </xf>
    <xf numFmtId="164" fontId="1" fillId="0" borderId="11" xfId="0" applyNumberFormat="1" applyFont="1" applyBorder="1" applyAlignment="1" applyProtection="1">
      <alignment/>
      <protection locked="0"/>
    </xf>
    <xf numFmtId="167" fontId="1" fillId="5" borderId="9" xfId="0" applyNumberFormat="1" applyFont="1" applyFill="1" applyBorder="1" applyAlignment="1" applyProtection="1">
      <alignment horizontal="center"/>
      <protection locked="0"/>
    </xf>
    <xf numFmtId="167" fontId="1" fillId="5" borderId="10" xfId="0" applyNumberFormat="1" applyFont="1" applyFill="1" applyBorder="1" applyAlignment="1" applyProtection="1">
      <alignment horizontal="center"/>
      <protection locked="0"/>
    </xf>
    <xf numFmtId="164" fontId="0" fillId="3" borderId="18" xfId="0" applyNumberFormat="1" applyFill="1" applyBorder="1" applyAlignment="1" applyProtection="1">
      <alignment horizontal="left"/>
      <protection locked="0"/>
    </xf>
    <xf numFmtId="176" fontId="0" fillId="3" borderId="11" xfId="0" applyNumberFormat="1" applyFill="1" applyBorder="1" applyAlignment="1" applyProtection="1">
      <alignment horizontal="center"/>
      <protection locked="0"/>
    </xf>
    <xf numFmtId="176" fontId="0" fillId="3" borderId="19" xfId="0" applyNumberFormat="1" applyFill="1" applyBorder="1" applyAlignment="1" applyProtection="1">
      <alignment horizontal="center" vertical="center"/>
      <protection locked="0"/>
    </xf>
    <xf numFmtId="167" fontId="0" fillId="3" borderId="11" xfId="0" applyNumberFormat="1" applyFill="1" applyBorder="1" applyAlignment="1" applyProtection="1">
      <alignment horizontal="center" vertical="center"/>
      <protection locked="0"/>
    </xf>
    <xf numFmtId="176" fontId="0" fillId="4" borderId="11" xfId="0" applyNumberFormat="1" applyFill="1" applyBorder="1" applyAlignment="1" applyProtection="1">
      <alignment horizontal="center"/>
      <protection locked="0"/>
    </xf>
    <xf numFmtId="176" fontId="0" fillId="4" borderId="29" xfId="0" applyNumberFormat="1" applyFill="1" applyBorder="1" applyAlignment="1" applyProtection="1">
      <alignment horizontal="center"/>
      <protection locked="0"/>
    </xf>
    <xf numFmtId="0" fontId="0" fillId="0" borderId="11" xfId="0" applyBorder="1" applyAlignment="1" applyProtection="1">
      <alignment/>
      <protection locked="0"/>
    </xf>
    <xf numFmtId="176" fontId="0" fillId="3" borderId="22" xfId="0" applyNumberFormat="1" applyFill="1" applyBorder="1" applyAlignment="1" applyProtection="1">
      <alignment horizontal="center" vertical="center"/>
      <protection locked="0"/>
    </xf>
    <xf numFmtId="164" fontId="0" fillId="0" borderId="12" xfId="0" applyNumberFormat="1" applyBorder="1" applyAlignment="1" applyProtection="1">
      <alignment horizontal="right"/>
      <protection locked="0"/>
    </xf>
    <xf numFmtId="209" fontId="0" fillId="0" borderId="13" xfId="0" applyNumberFormat="1" applyFill="1" applyBorder="1" applyAlignment="1" applyProtection="1">
      <alignment horizontal="center"/>
      <protection locked="0"/>
    </xf>
    <xf numFmtId="207" fontId="0" fillId="0" borderId="13" xfId="0" applyNumberFormat="1" applyFill="1" applyBorder="1" applyAlignment="1" applyProtection="1">
      <alignment horizontal="center"/>
      <protection locked="0"/>
    </xf>
    <xf numFmtId="164" fontId="0" fillId="0" borderId="13" xfId="0" applyNumberFormat="1" applyFont="1" applyFill="1" applyBorder="1" applyAlignment="1" applyProtection="1">
      <alignment horizontal="right"/>
      <protection locked="0"/>
    </xf>
    <xf numFmtId="167" fontId="0" fillId="3" borderId="13" xfId="0" applyNumberFormat="1" applyFill="1" applyBorder="1" applyAlignment="1" applyProtection="1">
      <alignment horizontal="center" vertical="center"/>
      <protection locked="0"/>
    </xf>
    <xf numFmtId="164" fontId="1" fillId="5" borderId="15" xfId="0" applyNumberFormat="1" applyFont="1" applyFill="1" applyBorder="1" applyAlignment="1" applyProtection="1">
      <alignment horizontal="center"/>
      <protection locked="0"/>
    </xf>
    <xf numFmtId="49" fontId="1" fillId="5" borderId="16" xfId="0" applyNumberFormat="1" applyFont="1" applyFill="1" applyBorder="1" applyAlignment="1" applyProtection="1">
      <alignment horizontal="center"/>
      <protection locked="0"/>
    </xf>
    <xf numFmtId="0" fontId="0" fillId="0" borderId="11" xfId="0" applyFill="1" applyBorder="1" applyAlignment="1" applyProtection="1">
      <alignment/>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6" xfId="0" applyFill="1" applyBorder="1" applyAlignment="1" applyProtection="1">
      <alignment/>
      <protection locked="0"/>
    </xf>
    <xf numFmtId="164" fontId="1" fillId="0" borderId="11" xfId="0" applyNumberFormat="1" applyFont="1" applyFill="1" applyBorder="1" applyAlignment="1" applyProtection="1">
      <alignment vertical="justify"/>
      <protection locked="0"/>
    </xf>
    <xf numFmtId="164" fontId="1" fillId="0" borderId="11" xfId="0" applyNumberFormat="1" applyFont="1" applyBorder="1" applyAlignment="1" applyProtection="1">
      <alignment horizontal="center"/>
      <protection locked="0"/>
    </xf>
    <xf numFmtId="176" fontId="0" fillId="0" borderId="11" xfId="0" applyNumberFormat="1" applyFill="1" applyBorder="1" applyAlignment="1" applyProtection="1">
      <alignment horizontal="center"/>
      <protection locked="0"/>
    </xf>
    <xf numFmtId="176" fontId="0" fillId="0" borderId="19" xfId="0" applyNumberFormat="1" applyFill="1" applyBorder="1" applyAlignment="1" applyProtection="1">
      <alignment horizontal="center" vertical="center"/>
      <protection locked="0"/>
    </xf>
    <xf numFmtId="164" fontId="0" fillId="0" borderId="11" xfId="0" applyNumberFormat="1" applyFont="1" applyFill="1" applyBorder="1" applyAlignment="1" applyProtection="1">
      <alignment vertical="justify"/>
      <protection locked="0"/>
    </xf>
    <xf numFmtId="164" fontId="0" fillId="0" borderId="11" xfId="0" applyNumberFormat="1" applyBorder="1" applyAlignment="1" applyProtection="1">
      <alignment/>
      <protection locked="0"/>
    </xf>
    <xf numFmtId="176" fontId="0" fillId="0" borderId="22" xfId="0" applyNumberFormat="1" applyFill="1" applyBorder="1" applyAlignment="1" applyProtection="1">
      <alignment horizontal="center" vertical="center"/>
      <protection locked="0"/>
    </xf>
    <xf numFmtId="209" fontId="0" fillId="0" borderId="11" xfId="0" applyNumberFormat="1" applyFill="1" applyBorder="1" applyAlignment="1" applyProtection="1">
      <alignment horizontal="center"/>
      <protection locked="0"/>
    </xf>
    <xf numFmtId="164" fontId="0" fillId="0" borderId="11" xfId="0" applyNumberFormat="1" applyFill="1" applyBorder="1" applyAlignment="1" applyProtection="1">
      <alignment horizontal="center"/>
      <protection locked="0"/>
    </xf>
    <xf numFmtId="176" fontId="0" fillId="0" borderId="11" xfId="0" applyNumberFormat="1" applyBorder="1" applyAlignment="1" applyProtection="1">
      <alignment horizontal="center"/>
      <protection locked="0"/>
    </xf>
    <xf numFmtId="164" fontId="1" fillId="0" borderId="11" xfId="0" applyNumberFormat="1" applyFont="1" applyFill="1" applyBorder="1" applyAlignment="1" applyProtection="1">
      <alignment horizontal="center" vertical="justify"/>
      <protection locked="0"/>
    </xf>
    <xf numFmtId="176" fontId="1" fillId="5" borderId="3" xfId="0" applyNumberFormat="1" applyFont="1" applyFill="1" applyBorder="1" applyAlignment="1" applyProtection="1">
      <alignment horizontal="center" vertical="justify"/>
      <protection locked="0"/>
    </xf>
    <xf numFmtId="176" fontId="1" fillId="5" borderId="3" xfId="0" applyNumberFormat="1" applyFont="1" applyFill="1" applyBorder="1" applyAlignment="1" applyProtection="1">
      <alignment horizontal="center" vertical="justify"/>
      <protection locked="0"/>
    </xf>
    <xf numFmtId="164" fontId="1" fillId="0" borderId="6" xfId="0" applyNumberFormat="1" applyFont="1" applyBorder="1" applyAlignment="1" applyProtection="1">
      <alignment/>
      <protection locked="0"/>
    </xf>
    <xf numFmtId="164" fontId="1" fillId="0" borderId="11" xfId="0" applyNumberFormat="1" applyFont="1" applyBorder="1" applyAlignment="1" applyProtection="1">
      <alignment/>
      <protection locked="0"/>
    </xf>
    <xf numFmtId="164" fontId="1" fillId="5" borderId="40" xfId="0" applyNumberFormat="1" applyFont="1" applyFill="1" applyBorder="1" applyAlignment="1" applyProtection="1">
      <alignment horizontal="center"/>
      <protection locked="0"/>
    </xf>
    <xf numFmtId="176" fontId="1" fillId="5" borderId="9" xfId="0" applyNumberFormat="1" applyFont="1" applyFill="1" applyBorder="1" applyAlignment="1" applyProtection="1">
      <alignment horizontal="center" vertical="justify"/>
      <protection locked="0"/>
    </xf>
    <xf numFmtId="49" fontId="1" fillId="5" borderId="41" xfId="0" applyNumberFormat="1" applyFont="1" applyFill="1" applyBorder="1" applyAlignment="1" applyProtection="1">
      <alignment horizontal="center"/>
      <protection locked="0"/>
    </xf>
    <xf numFmtId="0" fontId="0" fillId="0" borderId="22" xfId="0" applyFill="1" applyBorder="1" applyAlignment="1" applyProtection="1">
      <alignment horizontal="left"/>
      <protection locked="0"/>
    </xf>
    <xf numFmtId="176" fontId="0" fillId="0" borderId="22" xfId="0" applyNumberFormat="1"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2" xfId="0" applyBorder="1" applyAlignment="1" applyProtection="1">
      <alignment horizontal="center"/>
      <protection locked="0"/>
    </xf>
    <xf numFmtId="0" fontId="0" fillId="0" borderId="11" xfId="0" applyFill="1" applyBorder="1" applyAlignment="1" applyProtection="1">
      <alignment horizontal="left"/>
      <protection locked="0"/>
    </xf>
    <xf numFmtId="0" fontId="0" fillId="0" borderId="11" xfId="0" applyFill="1" applyBorder="1" applyAlignment="1" applyProtection="1">
      <alignment horizontal="center"/>
      <protection locked="0"/>
    </xf>
    <xf numFmtId="0" fontId="0" fillId="0" borderId="11" xfId="0" applyBorder="1" applyAlignment="1" applyProtection="1">
      <alignment horizontal="center"/>
      <protection locked="0"/>
    </xf>
    <xf numFmtId="164" fontId="0" fillId="0" borderId="11" xfId="0" applyNumberFormat="1" applyFill="1" applyBorder="1" applyAlignment="1" applyProtection="1">
      <alignment horizontal="left"/>
      <protection locked="0"/>
    </xf>
    <xf numFmtId="0" fontId="0" fillId="0" borderId="11" xfId="0" applyBorder="1" applyAlignment="1" applyProtection="1">
      <alignment horizontal="left"/>
      <protection locked="0"/>
    </xf>
    <xf numFmtId="167" fontId="0" fillId="0" borderId="20" xfId="0" applyNumberFormat="1" applyFont="1" applyFill="1" applyBorder="1" applyAlignment="1" applyProtection="1">
      <alignment horizontal="center"/>
      <protection/>
    </xf>
    <xf numFmtId="176" fontId="5" fillId="0" borderId="42" xfId="0" applyNumberFormat="1" applyFont="1" applyFill="1" applyBorder="1" applyAlignment="1" applyProtection="1">
      <alignment horizontal="center"/>
      <protection/>
    </xf>
    <xf numFmtId="176" fontId="5" fillId="0" borderId="43" xfId="0" applyNumberFormat="1" applyFont="1" applyFill="1" applyBorder="1" applyAlignment="1" applyProtection="1">
      <alignment horizontal="center"/>
      <protection/>
    </xf>
    <xf numFmtId="167" fontId="0" fillId="0" borderId="43" xfId="0" applyNumberFormat="1" applyFont="1" applyFill="1" applyBorder="1" applyAlignment="1" applyProtection="1">
      <alignment horizontal="center"/>
      <protection/>
    </xf>
    <xf numFmtId="164" fontId="1" fillId="0" borderId="44" xfId="0" applyNumberFormat="1" applyFont="1" applyBorder="1" applyAlignment="1" applyProtection="1">
      <alignment/>
      <protection/>
    </xf>
    <xf numFmtId="0" fontId="0" fillId="0" borderId="0" xfId="0" applyBorder="1" applyAlignment="1" applyProtection="1">
      <alignment/>
      <protection/>
    </xf>
    <xf numFmtId="164" fontId="1" fillId="0" borderId="0" xfId="0" applyNumberFormat="1" applyFont="1" applyFill="1" applyBorder="1" applyAlignment="1" applyProtection="1">
      <alignment/>
      <protection/>
    </xf>
    <xf numFmtId="176" fontId="0" fillId="0" borderId="0" xfId="0" applyNumberFormat="1" applyFill="1" applyBorder="1" applyAlignment="1" applyProtection="1">
      <alignment horizontal="center"/>
      <protection/>
    </xf>
    <xf numFmtId="0" fontId="0" fillId="0" borderId="45" xfId="0" applyFill="1" applyBorder="1" applyAlignment="1" applyProtection="1">
      <alignment/>
      <protection/>
    </xf>
    <xf numFmtId="164" fontId="1" fillId="0" borderId="45" xfId="0" applyNumberFormat="1" applyFont="1" applyFill="1" applyBorder="1" applyAlignment="1" applyProtection="1">
      <alignment/>
      <protection/>
    </xf>
    <xf numFmtId="176" fontId="0" fillId="0" borderId="44" xfId="0" applyNumberFormat="1" applyFill="1" applyBorder="1" applyAlignment="1" applyProtection="1">
      <alignment horizontal="right"/>
      <protection/>
    </xf>
    <xf numFmtId="0" fontId="0" fillId="0" borderId="44" xfId="0" applyBorder="1" applyAlignment="1" applyProtection="1">
      <alignment/>
      <protection/>
    </xf>
    <xf numFmtId="164" fontId="1" fillId="0" borderId="0" xfId="0" applyNumberFormat="1" applyFont="1" applyFill="1" applyBorder="1" applyAlignment="1" applyProtection="1">
      <alignment horizontal="center" vertical="justify"/>
      <protection/>
    </xf>
    <xf numFmtId="164" fontId="0" fillId="0" borderId="0" xfId="0" applyNumberFormat="1" applyFill="1" applyBorder="1" applyAlignment="1" applyProtection="1">
      <alignment horizontal="center"/>
      <protection/>
    </xf>
    <xf numFmtId="164" fontId="1" fillId="0" borderId="0" xfId="0" applyNumberFormat="1" applyFont="1" applyFill="1" applyBorder="1" applyAlignment="1" applyProtection="1">
      <alignment horizontal="center"/>
      <protection/>
    </xf>
    <xf numFmtId="176" fontId="1" fillId="0" borderId="46" xfId="0" applyNumberFormat="1" applyFont="1" applyFill="1" applyBorder="1" applyAlignment="1" applyProtection="1">
      <alignment horizontal="center"/>
      <protection/>
    </xf>
    <xf numFmtId="176" fontId="0" fillId="0" borderId="45" xfId="0" applyNumberFormat="1" applyFill="1" applyBorder="1" applyAlignment="1" applyProtection="1">
      <alignment horizontal="center"/>
      <protection/>
    </xf>
    <xf numFmtId="176" fontId="1" fillId="0" borderId="44" xfId="0" applyNumberFormat="1" applyFont="1" applyFill="1" applyBorder="1" applyAlignment="1" applyProtection="1">
      <alignment horizontal="center"/>
      <protection/>
    </xf>
    <xf numFmtId="176" fontId="0" fillId="0" borderId="44" xfId="0" applyNumberFormat="1" applyFill="1" applyBorder="1" applyAlignment="1" applyProtection="1">
      <alignment horizontal="center"/>
      <protection/>
    </xf>
    <xf numFmtId="176" fontId="1" fillId="0" borderId="0" xfId="0" applyNumberFormat="1" applyFont="1" applyFill="1" applyBorder="1" applyAlignment="1" applyProtection="1">
      <alignment horizontal="center" vertical="justify"/>
      <protection/>
    </xf>
    <xf numFmtId="176" fontId="1"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164" fontId="1" fillId="0" borderId="47" xfId="0" applyNumberFormat="1" applyFont="1" applyFill="1" applyBorder="1" applyAlignment="1" applyProtection="1">
      <alignment vertical="center"/>
      <protection/>
    </xf>
    <xf numFmtId="164" fontId="1" fillId="0" borderId="45" xfId="0" applyNumberFormat="1" applyFont="1" applyBorder="1" applyAlignment="1" applyProtection="1">
      <alignment/>
      <protection/>
    </xf>
    <xf numFmtId="164" fontId="1" fillId="0" borderId="44" xfId="0" applyNumberFormat="1" applyFont="1" applyBorder="1" applyAlignment="1" applyProtection="1">
      <alignment horizontal="center"/>
      <protection/>
    </xf>
    <xf numFmtId="0" fontId="0" fillId="0" borderId="48" xfId="0" applyBorder="1" applyAlignment="1" applyProtection="1">
      <alignment/>
      <protection/>
    </xf>
    <xf numFmtId="0" fontId="0" fillId="0" borderId="47" xfId="0" applyBorder="1" applyAlignment="1" applyProtection="1">
      <alignment/>
      <protection/>
    </xf>
    <xf numFmtId="0" fontId="0" fillId="0" borderId="49" xfId="0" applyBorder="1" applyAlignment="1" applyProtection="1">
      <alignment/>
      <protection/>
    </xf>
    <xf numFmtId="0" fontId="0" fillId="0" borderId="49" xfId="0" applyFill="1" applyBorder="1" applyAlignment="1" applyProtection="1">
      <alignment/>
      <protection/>
    </xf>
    <xf numFmtId="0" fontId="0" fillId="0" borderId="6" xfId="0" applyBorder="1" applyAlignment="1" applyProtection="1">
      <alignment/>
      <protection locked="0"/>
    </xf>
    <xf numFmtId="49" fontId="1" fillId="0" borderId="6" xfId="0" applyNumberFormat="1" applyFont="1" applyFill="1" applyBorder="1" applyAlignment="1" applyProtection="1">
      <alignment vertical="justify"/>
      <protection locked="0"/>
    </xf>
    <xf numFmtId="167" fontId="0" fillId="0" borderId="6" xfId="0" applyNumberFormat="1" applyFill="1" applyBorder="1" applyAlignment="1" applyProtection="1">
      <alignment horizontal="center"/>
      <protection locked="0"/>
    </xf>
    <xf numFmtId="164" fontId="1" fillId="0" borderId="6" xfId="0" applyNumberFormat="1" applyFont="1" applyFill="1" applyBorder="1" applyAlignment="1" applyProtection="1">
      <alignment horizontal="center"/>
      <protection locked="0"/>
    </xf>
    <xf numFmtId="164" fontId="0" fillId="0" borderId="6" xfId="0" applyNumberFormat="1" applyFill="1" applyBorder="1" applyAlignment="1" applyProtection="1">
      <alignment horizontal="center"/>
      <protection locked="0"/>
    </xf>
    <xf numFmtId="164" fontId="1" fillId="0" borderId="6" xfId="0" applyNumberFormat="1" applyFont="1" applyFill="1" applyBorder="1" applyAlignment="1" applyProtection="1">
      <alignment horizontal="center" vertical="justify"/>
      <protection locked="0"/>
    </xf>
    <xf numFmtId="176" fontId="1" fillId="0" borderId="6" xfId="0" applyNumberFormat="1" applyFont="1" applyFill="1" applyBorder="1" applyAlignment="1" applyProtection="1">
      <alignment horizontal="center"/>
      <protection locked="0"/>
    </xf>
    <xf numFmtId="164" fontId="1" fillId="0" borderId="6" xfId="0" applyNumberFormat="1" applyFont="1" applyFill="1" applyBorder="1" applyAlignment="1" applyProtection="1">
      <alignment vertical="center"/>
      <protection locked="0"/>
    </xf>
    <xf numFmtId="164" fontId="1" fillId="0" borderId="6" xfId="0" applyNumberFormat="1" applyFont="1" applyBorder="1" applyAlignment="1" applyProtection="1">
      <alignment horizontal="center"/>
      <protection locked="0"/>
    </xf>
    <xf numFmtId="164" fontId="1" fillId="0" borderId="19" xfId="0" applyNumberFormat="1" applyFont="1" applyBorder="1" applyAlignment="1" applyProtection="1">
      <alignment horizontal="center" vertical="center"/>
      <protection hidden="1"/>
    </xf>
    <xf numFmtId="164" fontId="1" fillId="0" borderId="32" xfId="0" applyNumberFormat="1" applyFont="1" applyBorder="1" applyAlignment="1" applyProtection="1">
      <alignment vertical="top"/>
      <protection hidden="1"/>
    </xf>
    <xf numFmtId="164" fontId="0" fillId="0" borderId="32" xfId="0" applyNumberFormat="1" applyBorder="1" applyAlignment="1" applyProtection="1">
      <alignment horizontal="justify" vertical="top"/>
      <protection hidden="1"/>
    </xf>
    <xf numFmtId="164" fontId="0" fillId="0" borderId="32" xfId="0" applyNumberFormat="1" applyBorder="1" applyAlignment="1" applyProtection="1">
      <alignment/>
      <protection locked="0"/>
    </xf>
    <xf numFmtId="164" fontId="0" fillId="0" borderId="22" xfId="0" applyNumberFormat="1" applyBorder="1" applyAlignment="1" applyProtection="1">
      <alignment horizontal="justify" vertical="top"/>
      <protection hidden="1"/>
    </xf>
    <xf numFmtId="164" fontId="1" fillId="0" borderId="19" xfId="0" applyNumberFormat="1" applyFont="1" applyBorder="1" applyAlignment="1" applyProtection="1">
      <alignment horizontal="justify" vertical="top"/>
      <protection hidden="1"/>
    </xf>
    <xf numFmtId="164" fontId="0" fillId="0" borderId="25" xfId="0" applyNumberFormat="1" applyFont="1" applyFill="1" applyBorder="1" applyAlignment="1" applyProtection="1">
      <alignment horizontal="right"/>
      <protection locked="0"/>
    </xf>
    <xf numFmtId="164" fontId="0" fillId="0" borderId="50" xfId="0" applyNumberFormat="1" applyFont="1" applyFill="1" applyBorder="1" applyAlignment="1" applyProtection="1">
      <alignment horizontal="right"/>
      <protection locked="0"/>
    </xf>
    <xf numFmtId="164" fontId="7" fillId="4" borderId="9" xfId="0" applyNumberFormat="1" applyFont="1" applyFill="1" applyBorder="1" applyAlignment="1" applyProtection="1">
      <alignment horizontal="justify" vertical="center"/>
      <protection hidden="1"/>
    </xf>
    <xf numFmtId="164" fontId="7" fillId="4" borderId="41" xfId="0" applyNumberFormat="1" applyFont="1" applyFill="1" applyBorder="1" applyAlignment="1" applyProtection="1">
      <alignment horizontal="justify" vertical="center"/>
      <protection hidden="1"/>
    </xf>
    <xf numFmtId="164" fontId="7" fillId="4" borderId="51" xfId="0" applyNumberFormat="1" applyFont="1" applyFill="1" applyBorder="1" applyAlignment="1" applyProtection="1">
      <alignment horizontal="justify" vertical="center"/>
      <protection hidden="1"/>
    </xf>
    <xf numFmtId="164" fontId="1" fillId="0" borderId="9" xfId="0" applyNumberFormat="1" applyFont="1" applyBorder="1" applyAlignment="1" applyProtection="1">
      <alignment horizontal="center" vertical="top"/>
      <protection hidden="1"/>
    </xf>
    <xf numFmtId="164" fontId="1" fillId="0" borderId="41" xfId="0" applyNumberFormat="1" applyFont="1" applyBorder="1" applyAlignment="1" applyProtection="1">
      <alignment horizontal="center" vertical="top"/>
      <protection hidden="1"/>
    </xf>
    <xf numFmtId="164" fontId="1" fillId="0" borderId="51" xfId="0" applyNumberFormat="1" applyFont="1" applyBorder="1" applyAlignment="1" applyProtection="1">
      <alignment horizontal="center" vertical="top"/>
      <protection hidden="1"/>
    </xf>
    <xf numFmtId="164" fontId="1" fillId="0" borderId="9" xfId="0" applyNumberFormat="1" applyFont="1" applyBorder="1" applyAlignment="1" applyProtection="1">
      <alignment horizontal="justify" vertical="top"/>
      <protection hidden="1"/>
    </xf>
    <xf numFmtId="164" fontId="0" fillId="0" borderId="41" xfId="0" applyNumberFormat="1" applyFont="1" applyBorder="1" applyAlignment="1" applyProtection="1">
      <alignment horizontal="justify" vertical="center"/>
      <protection hidden="1"/>
    </xf>
    <xf numFmtId="164" fontId="0" fillId="0" borderId="51" xfId="0" applyNumberFormat="1" applyFont="1" applyBorder="1" applyAlignment="1" applyProtection="1">
      <alignment horizontal="justify" vertic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ill>
        <patternFill>
          <bgColor rgb="FFCCFFFF"/>
        </patternFill>
      </fill>
      <border/>
    </dxf>
    <dxf>
      <fill>
        <patternFill>
          <bgColor rgb="FFFFCC00"/>
        </patternFill>
      </fill>
      <border/>
    </dxf>
    <dxf>
      <font>
        <color rgb="FFFF0000"/>
      </font>
      <fill>
        <patternFill patternType="none">
          <bgColor indexed="65"/>
        </patternFill>
      </fill>
      <border/>
    </dxf>
    <dxf>
      <font>
        <color rgb="FFFF0000"/>
      </font>
      <fill>
        <patternFill patternType="solid">
          <bgColor rgb="FFFFCC00"/>
        </patternFill>
      </fill>
      <border/>
    </dxf>
    <dxf>
      <font>
        <color rgb="FFFF0000"/>
      </font>
      <fill>
        <patternFill>
          <bgColor rgb="FFFFCC00"/>
        </patternFill>
      </fill>
      <border/>
    </dxf>
    <dxf>
      <font>
        <color rgb="FFFF0000"/>
      </font>
      <border/>
    </dxf>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M62"/>
  <sheetViews>
    <sheetView tabSelected="1" workbookViewId="0" topLeftCell="A1">
      <selection activeCell="A37" sqref="A37"/>
    </sheetView>
  </sheetViews>
  <sheetFormatPr defaultColWidth="9.140625" defaultRowHeight="13.5" customHeight="1"/>
  <cols>
    <col min="1" max="1" width="23.7109375" style="193" customWidth="1"/>
    <col min="2" max="2" width="14.28125" style="176" bestFit="1" customWidth="1"/>
    <col min="3" max="3" width="11.140625" style="176" bestFit="1" customWidth="1"/>
    <col min="4" max="5" width="11.7109375" style="176" bestFit="1" customWidth="1"/>
    <col min="6" max="6" width="14.57421875" style="190" bestFit="1" customWidth="1"/>
    <col min="7" max="7" width="10.7109375" style="191" bestFit="1" customWidth="1"/>
    <col min="8" max="8" width="11.7109375" style="191" bestFit="1" customWidth="1"/>
    <col min="9" max="9" width="2.57421875" style="116" customWidth="1"/>
    <col min="10" max="10" width="2.57421875" style="38" customWidth="1"/>
    <col min="11" max="11" width="38.8515625" style="141" customWidth="1"/>
    <col min="12" max="16384" width="9.140625" style="154" customWidth="1"/>
  </cols>
  <sheetData>
    <row r="1" spans="1:11" s="145" customFormat="1" ht="13.5" customHeight="1">
      <c r="A1" s="23" t="s">
        <v>31</v>
      </c>
      <c r="B1" s="24" t="s">
        <v>10</v>
      </c>
      <c r="C1" s="25" t="s">
        <v>11</v>
      </c>
      <c r="D1" s="25"/>
      <c r="E1" s="25"/>
      <c r="F1" s="26" t="s">
        <v>33</v>
      </c>
      <c r="G1" s="27" t="s">
        <v>44</v>
      </c>
      <c r="H1" s="28"/>
      <c r="I1" s="29"/>
      <c r="J1" s="30"/>
      <c r="K1" s="232"/>
    </row>
    <row r="2" spans="1:12" s="145" customFormat="1" ht="13.5" customHeight="1">
      <c r="A2" s="31" t="s">
        <v>32</v>
      </c>
      <c r="B2" s="32" t="s">
        <v>9</v>
      </c>
      <c r="C2" s="33" t="s">
        <v>6</v>
      </c>
      <c r="D2" s="33" t="s">
        <v>5</v>
      </c>
      <c r="E2" s="33" t="s">
        <v>3</v>
      </c>
      <c r="F2" s="34" t="s">
        <v>40</v>
      </c>
      <c r="G2" s="35" t="s">
        <v>43</v>
      </c>
      <c r="H2" s="36" t="s">
        <v>42</v>
      </c>
      <c r="I2" s="29"/>
      <c r="J2" s="198"/>
      <c r="K2" s="240" t="s">
        <v>61</v>
      </c>
      <c r="L2" s="144"/>
    </row>
    <row r="3" spans="1:12" ht="13.5" customHeight="1">
      <c r="A3" s="148" t="s">
        <v>30</v>
      </c>
      <c r="B3" s="149">
        <f>(48*60+37.1)/60</f>
        <v>48.61833333333333</v>
      </c>
      <c r="C3" s="149">
        <f>-(59*60+44.3)/60</f>
        <v>-59.73833333333334</v>
      </c>
      <c r="D3" s="149">
        <f>(167*60+56.3)/60</f>
        <v>167.93833333333333</v>
      </c>
      <c r="E3" s="150">
        <f>(255*60+48.2)/60</f>
        <v>255.80333333333334</v>
      </c>
      <c r="F3" s="151">
        <v>1</v>
      </c>
      <c r="G3" s="152">
        <v>-30.010593</v>
      </c>
      <c r="H3" s="153">
        <v>-106.902148</v>
      </c>
      <c r="I3" s="37"/>
      <c r="J3" s="199"/>
      <c r="K3" s="241"/>
      <c r="L3" s="223"/>
    </row>
    <row r="4" spans="1:12" ht="13.5" customHeight="1">
      <c r="A4" s="148" t="s">
        <v>2</v>
      </c>
      <c r="B4" s="149">
        <f>(37*60+41.5)/60</f>
        <v>37.69166666666667</v>
      </c>
      <c r="C4" s="149">
        <f>(14*60+31.4)/60</f>
        <v>14.523333333333333</v>
      </c>
      <c r="D4" s="149">
        <f>(182*60+37.3)/60</f>
        <v>182.62166666666664</v>
      </c>
      <c r="E4" s="155"/>
      <c r="F4" s="151">
        <v>1</v>
      </c>
      <c r="G4" s="152">
        <v>-21.879717</v>
      </c>
      <c r="H4" s="153">
        <v>-40.113526</v>
      </c>
      <c r="I4" s="37"/>
      <c r="J4" s="199"/>
      <c r="K4" s="241"/>
      <c r="L4" s="223"/>
    </row>
    <row r="5" spans="1:12" ht="13.5" customHeight="1" thickBot="1">
      <c r="A5" s="156" t="s">
        <v>49</v>
      </c>
      <c r="B5" s="157">
        <v>39545</v>
      </c>
      <c r="C5" s="158">
        <v>0.16666666666666666</v>
      </c>
      <c r="D5" s="238" t="s">
        <v>37</v>
      </c>
      <c r="E5" s="239"/>
      <c r="F5" s="160">
        <v>1</v>
      </c>
      <c r="G5" s="164"/>
      <c r="H5" s="165"/>
      <c r="I5" s="37"/>
      <c r="J5" s="199"/>
      <c r="K5" s="241"/>
      <c r="L5" s="223"/>
    </row>
    <row r="6" spans="1:12" ht="13.5" customHeight="1" thickBot="1">
      <c r="A6" s="43"/>
      <c r="B6" s="44"/>
      <c r="C6" s="44"/>
      <c r="D6" s="44"/>
      <c r="E6" s="44"/>
      <c r="F6" s="45"/>
      <c r="G6" s="46"/>
      <c r="H6" s="46"/>
      <c r="I6" s="37"/>
      <c r="J6" s="199"/>
      <c r="K6" s="241"/>
      <c r="L6" s="223"/>
    </row>
    <row r="7" spans="1:12" s="145" customFormat="1" ht="13.5" customHeight="1">
      <c r="A7" s="47" t="s">
        <v>34</v>
      </c>
      <c r="B7" s="48" t="s">
        <v>9</v>
      </c>
      <c r="C7" s="48" t="s">
        <v>6</v>
      </c>
      <c r="D7" s="48" t="s">
        <v>5</v>
      </c>
      <c r="E7" s="48" t="s">
        <v>3</v>
      </c>
      <c r="F7" s="49" t="s">
        <v>41</v>
      </c>
      <c r="G7" s="50" t="s">
        <v>43</v>
      </c>
      <c r="H7" s="51" t="s">
        <v>42</v>
      </c>
      <c r="I7" s="52"/>
      <c r="J7" s="200"/>
      <c r="K7" s="241"/>
      <c r="L7" s="144"/>
    </row>
    <row r="8" spans="1:12" ht="13.5" customHeight="1">
      <c r="A8" s="53" t="str">
        <f>A3</f>
        <v>Mimosa</v>
      </c>
      <c r="B8" s="54" t="str">
        <f>CONCATENATE(TEXT(TRUNC(B3),"0"),"º ",TEXT(ABS((B3-TRUNC(B3)))*60,"0,0"),"'")</f>
        <v>48º 37,1'</v>
      </c>
      <c r="C8" s="54" t="str">
        <f>CONCATENATE(TEXT(TRUNC(C3),"0"),"º ",TEXT(ABS((C3-TRUNC(C3)))*60,"0,0"),"'")</f>
        <v>-59º 44,3'</v>
      </c>
      <c r="D8" s="54" t="str">
        <f>CONCATENATE(TEXT(TRUNC(D3),"0"),"º ",TEXT(ABS((D3-TRUNC(D3)))*60,"0,0"),"'")</f>
        <v>167º 56,3'</v>
      </c>
      <c r="E8" s="55" t="str">
        <f>CONCATENATE(TEXT(TRUNC(E3),"0"),"º ",TEXT(ABS((E3-TRUNC(E3)))*60,"0,0"),"'")</f>
        <v>255º 48,2'</v>
      </c>
      <c r="F8" s="56" t="str">
        <f>CONCATENATE(TEXT(ABS(IF(Calc!$M$4=1,Calc!K2,Calc!K3)),"0,0"),"º ",IF(IF(Calc!$M$4=1,Calc!K2,Calc!K3)&lt;0,"W","E"))</f>
        <v>148,6º E</v>
      </c>
      <c r="G8" s="57">
        <f>IF(Calc!$M$4=1,Calc!I2,Calc!I3)</f>
        <v>-30.01056291827051</v>
      </c>
      <c r="H8" s="58">
        <f>IF(Calc!$M$4=1,Calc!J2,Calc!J3)</f>
        <v>-106.90215845654501</v>
      </c>
      <c r="I8" s="59"/>
      <c r="J8" s="201"/>
      <c r="K8" s="242"/>
      <c r="L8" s="223"/>
    </row>
    <row r="9" spans="1:11" s="163" customFormat="1" ht="13.5" customHeight="1">
      <c r="A9" s="61" t="str">
        <f>A4</f>
        <v>Denébola</v>
      </c>
      <c r="B9" s="54" t="str">
        <f>CONCATENATE(TEXT(TRUNC(B4),"0"),"º ",TEXT(ABS((B4-TRUNC(B4)))*60,"0,0"),"'")</f>
        <v>37º 41,5'</v>
      </c>
      <c r="C9" s="54" t="str">
        <f>CONCATENATE(TEXT(TRUNC(C4),"0"),"º ",TEXT(ABS((C4-TRUNC(C4)))*60,"0,0"),"'")</f>
        <v>14º 31,4'</v>
      </c>
      <c r="D9" s="54" t="str">
        <f>CONCATENATE(TEXT(TRUNC(D4),"0"),"º ",TEXT(ABS((D4-TRUNC(D4)))*60,"0,0"),"'")</f>
        <v>182º 37,3'</v>
      </c>
      <c r="E9" s="55"/>
      <c r="F9" s="56" t="str">
        <f>CONCATENATE(TEXT(ABS(IF(Calc!$M$4=1,Calc!L2,Calc!L3)),"0,0"),"º ",IF(IF(Calc!$M$4=1,Calc!L2,Calc!L3)&lt;0,"W","E"))</f>
        <v>35,7º E</v>
      </c>
      <c r="G9" s="62" t="str">
        <f>IF(G8="-",G8,CONCATENATE(TEXT(ABS(TRUNC(G8)),"0"),"º ",TEXT(ABS((G8-TRUNC(G8)))*60,"0,0"),"' ",IF(G8&lt;0,"S","N")))</f>
        <v>30º 0,6' S</v>
      </c>
      <c r="H9" s="63" t="str">
        <f>IF(H8="-",H8,CONCATENATE(TEXT(ABS(TRUNC(H8)),"0"),"º ",TEXT(ABS((H8-TRUNC(H8)))*60,"0,0"),"' ",IF(H8&lt;0,"W","E")))</f>
        <v>106º 54,1' W</v>
      </c>
      <c r="I9" s="64"/>
      <c r="J9" s="65"/>
      <c r="K9" s="233"/>
    </row>
    <row r="10" spans="1:12" ht="13.5" customHeight="1" thickBot="1">
      <c r="A10" s="39" t="s">
        <v>49</v>
      </c>
      <c r="B10" s="40">
        <f>B5</f>
        <v>39545</v>
      </c>
      <c r="C10" s="41">
        <f>C5</f>
        <v>0.16666666666666666</v>
      </c>
      <c r="D10" s="42" t="s">
        <v>37</v>
      </c>
      <c r="E10" s="42"/>
      <c r="F10" s="66">
        <f>IF(Calc!$M$4=1,Calc!M2,Calc!M3)</f>
        <v>1</v>
      </c>
      <c r="G10" s="67"/>
      <c r="H10" s="68"/>
      <c r="I10" s="64"/>
      <c r="J10" s="202"/>
      <c r="K10" s="243" t="s">
        <v>57</v>
      </c>
      <c r="L10" s="223"/>
    </row>
    <row r="11" spans="1:12" ht="13.5" customHeight="1" thickBot="1">
      <c r="A11" s="43"/>
      <c r="B11" s="44"/>
      <c r="C11" s="44"/>
      <c r="D11" s="69"/>
      <c r="E11" s="69"/>
      <c r="F11" s="70"/>
      <c r="G11" s="71"/>
      <c r="H11" s="71"/>
      <c r="I11" s="64"/>
      <c r="J11" s="202"/>
      <c r="K11" s="244" t="s">
        <v>56</v>
      </c>
      <c r="L11" s="223"/>
    </row>
    <row r="12" spans="1:12" s="145" customFormat="1" ht="13.5" customHeight="1">
      <c r="A12" s="47" t="s">
        <v>35</v>
      </c>
      <c r="B12" s="48" t="s">
        <v>9</v>
      </c>
      <c r="C12" s="48" t="s">
        <v>6</v>
      </c>
      <c r="D12" s="48" t="s">
        <v>5</v>
      </c>
      <c r="E12" s="48" t="s">
        <v>3</v>
      </c>
      <c r="F12" s="49" t="s">
        <v>41</v>
      </c>
      <c r="G12" s="50" t="s">
        <v>43</v>
      </c>
      <c r="H12" s="51" t="s">
        <v>42</v>
      </c>
      <c r="I12" s="52"/>
      <c r="J12" s="203"/>
      <c r="K12" s="245" t="s">
        <v>50</v>
      </c>
      <c r="L12" s="144"/>
    </row>
    <row r="13" spans="1:11" ht="13.5" customHeight="1">
      <c r="A13" s="53" t="str">
        <f>A3</f>
        <v>Mimosa</v>
      </c>
      <c r="B13" s="54" t="str">
        <f>B8</f>
        <v>48º 37,1'</v>
      </c>
      <c r="C13" s="54" t="str">
        <f>C8</f>
        <v>-59º 44,3'</v>
      </c>
      <c r="D13" s="54" t="str">
        <f>D8</f>
        <v>167º 56,3'</v>
      </c>
      <c r="E13" s="55" t="str">
        <f>E8</f>
        <v>255º 48,2'</v>
      </c>
      <c r="F13" s="56" t="str">
        <f>CONCATENATE(TEXT(ABS(IF(Calc!$M$4=0,Calc!K2,Calc!K3)),"0,0"),"º ",IF(IF(Calc!$M$4=0,Calc!K2,Calc!K3)&lt;0,"W","E"))</f>
        <v>162,2º W</v>
      </c>
      <c r="G13" s="57">
        <f>IF(Calc!$M$4=0,Calc!I2,Calc!I3)</f>
        <v>-21.879717124069842</v>
      </c>
      <c r="H13" s="58">
        <f>IF(Calc!$M$4=0,Calc!J2,Calc!J3)</f>
        <v>-40.11352578879843</v>
      </c>
      <c r="I13" s="59"/>
      <c r="J13" s="72"/>
      <c r="K13" s="234"/>
    </row>
    <row r="14" spans="1:12" ht="13.5" customHeight="1">
      <c r="A14" s="53" t="str">
        <f>A4</f>
        <v>Denébola</v>
      </c>
      <c r="B14" s="54" t="str">
        <f>B9</f>
        <v>37º 41,5'</v>
      </c>
      <c r="C14" s="54" t="str">
        <f>C9</f>
        <v>14º 31,4'</v>
      </c>
      <c r="D14" s="54" t="str">
        <f>D9</f>
        <v>182º 37,3'</v>
      </c>
      <c r="E14" s="55"/>
      <c r="F14" s="56" t="str">
        <f>CONCATENATE(TEXT(ABS(IF(Calc!$M$4=0,Calc!L2,Calc!L3)),"0,0"),"º ",IF(IF(Calc!$M$4=0,Calc!L2,Calc!L3)&lt;0,"W","E"))</f>
        <v>49,3º W</v>
      </c>
      <c r="G14" s="62" t="str">
        <f>IF(G13="-",G13,CONCATENATE(TEXT(ABS(TRUNC(G13)),"0"),"º ",TEXT(ABS((G13-TRUNC(G13)))*60,"0,0"),"' ",IF(G13&lt;0,"S","N")))</f>
        <v>21º 52,8' S</v>
      </c>
      <c r="H14" s="63" t="str">
        <f>IF(H13="-",H13,CONCATENATE(TEXT(ABS(TRUNC(H13)),"0"),"º ",TEXT(ABS((H13-TRUNC(H13)))*60,"0,0"),"' ",IF(H13&lt;0,"W","E")))</f>
        <v>40º 6,8' W</v>
      </c>
      <c r="I14" s="73"/>
      <c r="J14" s="204"/>
      <c r="K14" s="237" t="s">
        <v>51</v>
      </c>
      <c r="L14" s="223"/>
    </row>
    <row r="15" spans="1:12" ht="13.5" customHeight="1" thickBot="1">
      <c r="A15" s="39" t="s">
        <v>49</v>
      </c>
      <c r="B15" s="40">
        <f>B10</f>
        <v>39545</v>
      </c>
      <c r="C15" s="41">
        <f>C10</f>
        <v>0.16666666666666666</v>
      </c>
      <c r="D15" s="42" t="s">
        <v>37</v>
      </c>
      <c r="E15" s="42"/>
      <c r="F15" s="66">
        <f>IF(Calc!$M$4=0,Calc!M2,Calc!M3)</f>
        <v>-1</v>
      </c>
      <c r="G15" s="67"/>
      <c r="H15" s="68"/>
      <c r="I15" s="37"/>
      <c r="J15" s="205"/>
      <c r="K15" s="246" t="s">
        <v>53</v>
      </c>
      <c r="L15" s="223"/>
    </row>
    <row r="16" spans="1:12" ht="13.5" customHeight="1" thickBot="1">
      <c r="A16" s="43"/>
      <c r="B16" s="44"/>
      <c r="C16" s="44"/>
      <c r="D16" s="44"/>
      <c r="E16" s="44"/>
      <c r="F16" s="70"/>
      <c r="G16" s="70"/>
      <c r="H16" s="70"/>
      <c r="I16" s="37"/>
      <c r="J16" s="205"/>
      <c r="K16" s="247" t="s">
        <v>62</v>
      </c>
      <c r="L16" s="223"/>
    </row>
    <row r="17" spans="1:13" s="168" customFormat="1" ht="13.5" customHeight="1" thickBot="1">
      <c r="A17" s="47" t="s">
        <v>38</v>
      </c>
      <c r="B17" s="74" t="s">
        <v>9</v>
      </c>
      <c r="C17" s="75" t="s">
        <v>6</v>
      </c>
      <c r="D17" s="75" t="s">
        <v>5</v>
      </c>
      <c r="E17" s="75" t="s">
        <v>3</v>
      </c>
      <c r="F17" s="76" t="s">
        <v>40</v>
      </c>
      <c r="G17" s="77"/>
      <c r="H17" s="78"/>
      <c r="I17" s="79"/>
      <c r="J17" s="206"/>
      <c r="K17" s="247"/>
      <c r="L17" s="224"/>
      <c r="M17" s="167"/>
    </row>
    <row r="18" spans="1:13" s="172" customFormat="1" ht="13.5" customHeight="1" thickBot="1">
      <c r="A18" s="61" t="str">
        <f aca="true" t="shared" si="0" ref="A18:F18">A3</f>
        <v>Mimosa</v>
      </c>
      <c r="B18" s="81">
        <f t="shared" si="0"/>
        <v>48.61833333333333</v>
      </c>
      <c r="C18" s="81">
        <f t="shared" si="0"/>
        <v>-59.73833333333334</v>
      </c>
      <c r="D18" s="81">
        <f t="shared" si="0"/>
        <v>167.93833333333333</v>
      </c>
      <c r="E18" s="170">
        <f t="shared" si="0"/>
        <v>255.80333333333334</v>
      </c>
      <c r="F18" s="82">
        <f t="shared" si="0"/>
        <v>1</v>
      </c>
      <c r="G18" s="83"/>
      <c r="H18" s="84"/>
      <c r="I18" s="85"/>
      <c r="J18" s="207"/>
      <c r="K18" s="247"/>
      <c r="L18" s="225"/>
      <c r="M18" s="171"/>
    </row>
    <row r="19" spans="1:13" s="172" customFormat="1" ht="13.5" customHeight="1" thickBot="1">
      <c r="A19" s="61" t="str">
        <f>A4</f>
        <v>Denébola</v>
      </c>
      <c r="B19" s="81">
        <f>B4</f>
        <v>37.69166666666667</v>
      </c>
      <c r="C19" s="81">
        <f>C4</f>
        <v>14.523333333333333</v>
      </c>
      <c r="D19" s="81">
        <f>D4</f>
        <v>182.62166666666664</v>
      </c>
      <c r="E19" s="173"/>
      <c r="F19" s="82">
        <f>F4</f>
        <v>1</v>
      </c>
      <c r="G19" s="83"/>
      <c r="H19" s="84"/>
      <c r="I19" s="85"/>
      <c r="J19" s="207"/>
      <c r="K19" s="247"/>
      <c r="L19" s="225"/>
      <c r="M19" s="171"/>
    </row>
    <row r="20" spans="1:13" s="172" customFormat="1" ht="13.5" customHeight="1" thickBot="1">
      <c r="A20" s="86" t="s">
        <v>49</v>
      </c>
      <c r="B20" s="87">
        <f>B5</f>
        <v>39545</v>
      </c>
      <c r="C20" s="88">
        <f>C5</f>
        <v>0.16666666666666666</v>
      </c>
      <c r="D20" s="89" t="s">
        <v>37</v>
      </c>
      <c r="E20" s="89"/>
      <c r="F20" s="82">
        <f>F5</f>
        <v>1</v>
      </c>
      <c r="G20" s="90"/>
      <c r="H20" s="91"/>
      <c r="I20" s="85"/>
      <c r="J20" s="207"/>
      <c r="K20" s="247"/>
      <c r="L20" s="225"/>
      <c r="M20" s="175"/>
    </row>
    <row r="21" spans="1:13" s="172" customFormat="1" ht="13.5" customHeight="1" thickBot="1">
      <c r="A21" s="92" t="s">
        <v>29</v>
      </c>
      <c r="B21" s="93" t="s">
        <v>18</v>
      </c>
      <c r="C21" s="93" t="s">
        <v>17</v>
      </c>
      <c r="D21" s="94" t="s">
        <v>19</v>
      </c>
      <c r="E21" s="94" t="s">
        <v>14</v>
      </c>
      <c r="F21" s="95" t="s">
        <v>20</v>
      </c>
      <c r="G21" s="96"/>
      <c r="H21" s="91"/>
      <c r="I21" s="97"/>
      <c r="J21" s="208"/>
      <c r="K21" s="247"/>
      <c r="L21" s="226"/>
      <c r="M21" s="175"/>
    </row>
    <row r="22" spans="1:13" s="172" customFormat="1" ht="13.5" customHeight="1" thickBot="1">
      <c r="A22" s="53" t="s">
        <v>21</v>
      </c>
      <c r="B22" s="98">
        <f>90-$C$4</f>
        <v>75.47666666666666</v>
      </c>
      <c r="C22" s="98">
        <f>90-$C$3</f>
        <v>149.73833333333334</v>
      </c>
      <c r="D22" s="98">
        <f>$D$4-$D$3</f>
        <v>14.683333333333309</v>
      </c>
      <c r="E22" s="98">
        <f>DEGREES(ACOS(COS(B22*PI()/180)*COS(C22*PI()/180)+(SIN(B22*PI()/180)*SIN(C22*PI()/180)*(COS(D22*PI()/180)))))</f>
        <v>75.20791786067988</v>
      </c>
      <c r="F22" s="99">
        <f>DEGREES(ACOS((COS(C22*PI()/180)-COS(B22*PI()/180)*COS(E22*PI()/180))/(SIN(B22*PI()/180)*SIN(E22*PI()/180))))</f>
        <v>172.4079966258099</v>
      </c>
      <c r="G22" s="90"/>
      <c r="H22" s="84"/>
      <c r="I22" s="59"/>
      <c r="J22" s="201"/>
      <c r="K22" s="247"/>
      <c r="L22" s="227"/>
      <c r="M22" s="175"/>
    </row>
    <row r="23" spans="1:13" s="172" customFormat="1" ht="13.5" customHeight="1" thickBot="1">
      <c r="A23" s="53"/>
      <c r="B23" s="93" t="s">
        <v>25</v>
      </c>
      <c r="C23" s="93" t="s">
        <v>24</v>
      </c>
      <c r="D23" s="94" t="s">
        <v>14</v>
      </c>
      <c r="E23" s="94" t="s">
        <v>23</v>
      </c>
      <c r="F23" s="95" t="s">
        <v>4</v>
      </c>
      <c r="G23" s="96"/>
      <c r="H23" s="84"/>
      <c r="I23" s="100"/>
      <c r="J23" s="209"/>
      <c r="K23" s="247"/>
      <c r="L23" s="226"/>
      <c r="M23" s="175"/>
    </row>
    <row r="24" spans="1:13" s="172" customFormat="1" ht="13.5" customHeight="1" thickBot="1">
      <c r="A24" s="53" t="s">
        <v>22</v>
      </c>
      <c r="B24" s="98">
        <f>90-$B$3</f>
        <v>41.38166666666667</v>
      </c>
      <c r="C24" s="98">
        <f>90-$B$4</f>
        <v>52.30833333333333</v>
      </c>
      <c r="D24" s="98">
        <f>E22</f>
        <v>75.20791786067988</v>
      </c>
      <c r="E24" s="98">
        <f>DEGREES(ACOS((COS(B24*PI()/180)-COS(C24*PI()/180)*COS(D24*PI()/180))/(SIN(C24*PI()/180)*SIN(D24*PI()/180))))</f>
        <v>39.043151298406265</v>
      </c>
      <c r="F24" s="101">
        <f>(E24+F22*F18*F19*F20)</f>
        <v>211.45114792421614</v>
      </c>
      <c r="G24" s="90"/>
      <c r="H24" s="84"/>
      <c r="I24" s="59"/>
      <c r="J24" s="210"/>
      <c r="K24" s="247"/>
      <c r="L24" s="227"/>
      <c r="M24" s="175"/>
    </row>
    <row r="25" spans="1:13" s="172" customFormat="1" ht="13.5" customHeight="1" thickBot="1">
      <c r="A25" s="53"/>
      <c r="B25" s="93" t="s">
        <v>24</v>
      </c>
      <c r="C25" s="93" t="s">
        <v>18</v>
      </c>
      <c r="D25" s="94" t="s">
        <v>4</v>
      </c>
      <c r="E25" s="94" t="s">
        <v>27</v>
      </c>
      <c r="F25" s="102" t="s">
        <v>43</v>
      </c>
      <c r="G25" s="90"/>
      <c r="H25" s="84"/>
      <c r="I25" s="100"/>
      <c r="J25" s="211"/>
      <c r="K25" s="247"/>
      <c r="L25" s="228"/>
      <c r="M25" s="177"/>
    </row>
    <row r="26" spans="1:13" s="172" customFormat="1" ht="13.5" customHeight="1" thickBot="1">
      <c r="A26" s="53" t="s">
        <v>26</v>
      </c>
      <c r="B26" s="98">
        <f>90-$B$4</f>
        <v>52.30833333333333</v>
      </c>
      <c r="C26" s="98">
        <f>90-$C$4</f>
        <v>75.47666666666666</v>
      </c>
      <c r="D26" s="98">
        <f>F24</f>
        <v>211.45114792421614</v>
      </c>
      <c r="E26" s="98">
        <f>DEGREES(ACOS(COS(B26*PI()/180)*COS(C26*PI()/180)+(SIN(B26*PI()/180)*SIN(C26*PI()/180)*(COS(D26*PI()/180)))))</f>
        <v>120.01056291827051</v>
      </c>
      <c r="F26" s="103">
        <f>90-E26</f>
        <v>-30.01056291827051</v>
      </c>
      <c r="G26" s="104"/>
      <c r="H26" s="84"/>
      <c r="I26" s="59"/>
      <c r="J26" s="212"/>
      <c r="K26" s="247"/>
      <c r="L26" s="229"/>
      <c r="M26" s="169"/>
    </row>
    <row r="27" spans="1:13" s="172" customFormat="1" ht="13.5" customHeight="1" thickBot="1">
      <c r="A27" s="53"/>
      <c r="B27" s="93" t="s">
        <v>24</v>
      </c>
      <c r="C27" s="93" t="s">
        <v>27</v>
      </c>
      <c r="D27" s="93" t="s">
        <v>18</v>
      </c>
      <c r="E27" s="80" t="s">
        <v>7</v>
      </c>
      <c r="F27" s="102" t="s">
        <v>42</v>
      </c>
      <c r="G27" s="90"/>
      <c r="H27" s="84"/>
      <c r="I27" s="105"/>
      <c r="J27" s="213"/>
      <c r="K27" s="247"/>
      <c r="L27" s="228"/>
      <c r="M27" s="177"/>
    </row>
    <row r="28" spans="1:13" s="172" customFormat="1" ht="13.5" customHeight="1" thickBot="1">
      <c r="A28" s="53" t="str">
        <f>CONCATENATE("4.- P de ",A4)</f>
        <v>4.- P de Denébola</v>
      </c>
      <c r="B28" s="98">
        <f>90-$B$4</f>
        <v>52.30833333333333</v>
      </c>
      <c r="C28" s="98">
        <f>$E$26</f>
        <v>120.01056291827051</v>
      </c>
      <c r="D28" s="98">
        <f>90-$C$4</f>
        <v>75.47666666666666</v>
      </c>
      <c r="E28" s="98">
        <f>F19*DEGREES(ACOS((COS(B28*PI()/180)-COS(C28*PI()/180)*COS(D28*PI()/180))/(SIN(C28*PI()/180)*SIN(D28*PI()/180))))</f>
        <v>28.47715845654508</v>
      </c>
      <c r="F28" s="103">
        <f>IF(ABS(MOD($D$4+$E$3+E28,360))&gt;180,360-MOD($D$4+$E$3+E28,360),-MOD($D$4+$E$3+E28,360))</f>
        <v>-106.90215845654501</v>
      </c>
      <c r="G28" s="104"/>
      <c r="H28" s="84"/>
      <c r="I28" s="59"/>
      <c r="J28" s="201"/>
      <c r="K28" s="247"/>
      <c r="L28" s="229"/>
      <c r="M28" s="169"/>
    </row>
    <row r="29" spans="1:13" s="172" customFormat="1" ht="13.5" customHeight="1" thickBot="1">
      <c r="A29" s="53"/>
      <c r="B29" s="93" t="s">
        <v>17</v>
      </c>
      <c r="C29" s="93" t="s">
        <v>25</v>
      </c>
      <c r="D29" s="93" t="s">
        <v>27</v>
      </c>
      <c r="E29" s="94" t="s">
        <v>8</v>
      </c>
      <c r="F29" s="194"/>
      <c r="G29" s="96"/>
      <c r="H29" s="84"/>
      <c r="I29" s="100"/>
      <c r="J29" s="214"/>
      <c r="K29" s="248"/>
      <c r="L29" s="226"/>
      <c r="M29" s="175"/>
    </row>
    <row r="30" spans="1:13" s="172" customFormat="1" ht="13.5" customHeight="1" thickBot="1">
      <c r="A30" s="53" t="str">
        <f>CONCATENATE("5.- Z de ",A3)</f>
        <v>5.- Z de Mimosa</v>
      </c>
      <c r="B30" s="98">
        <f>90-$C$3</f>
        <v>149.73833333333334</v>
      </c>
      <c r="C30" s="98">
        <f>90-$B$3</f>
        <v>41.38166666666667</v>
      </c>
      <c r="D30" s="98">
        <f>$E$26</f>
        <v>120.01056291827051</v>
      </c>
      <c r="E30" s="106">
        <f>F18*DEGREES(ACOS((COS(B30*PI()/180)-COS(C30*PI()/180)*COS(D30*PI()/180))/(SIN(C30*PI()/180)*SIN(D30*PI()/180))))</f>
        <v>148.56960964747142</v>
      </c>
      <c r="F30" s="196" t="b">
        <f>OR(E30=Calc!K2,E30=Calc!K3)</f>
        <v>1</v>
      </c>
      <c r="G30" s="90"/>
      <c r="H30" s="84"/>
      <c r="I30" s="59"/>
      <c r="J30" s="60"/>
      <c r="K30" s="235"/>
      <c r="L30" s="175"/>
      <c r="M30" s="175"/>
    </row>
    <row r="31" spans="1:13" s="172" customFormat="1" ht="13.5" customHeight="1" thickBot="1">
      <c r="A31" s="53"/>
      <c r="B31" s="93" t="s">
        <v>18</v>
      </c>
      <c r="C31" s="93" t="s">
        <v>24</v>
      </c>
      <c r="D31" s="93" t="s">
        <v>27</v>
      </c>
      <c r="E31" s="94" t="s">
        <v>8</v>
      </c>
      <c r="F31" s="197"/>
      <c r="G31" s="96"/>
      <c r="H31" s="84"/>
      <c r="I31" s="100"/>
      <c r="J31" s="214"/>
      <c r="K31" s="246" t="s">
        <v>59</v>
      </c>
      <c r="L31" s="226"/>
      <c r="M31" s="175"/>
    </row>
    <row r="32" spans="1:13" s="172" customFormat="1" ht="13.5" customHeight="1" thickBot="1">
      <c r="A32" s="107" t="str">
        <f>CONCATENATE("6.- Z de ",A4)</f>
        <v>6.- Z de Denébola</v>
      </c>
      <c r="B32" s="108">
        <f>90-$C$4</f>
        <v>75.47666666666666</v>
      </c>
      <c r="C32" s="108">
        <f>90-$B$4</f>
        <v>52.30833333333333</v>
      </c>
      <c r="D32" s="108">
        <f>$E$26</f>
        <v>120.01056291827051</v>
      </c>
      <c r="E32" s="109">
        <f>F19*DEGREES(ACOS((COS(B32*PI()/180)-COS(C32*PI()/180)*COS(D32*PI()/180))/(SIN(C32*PI()/180)*SIN(D32*PI()/180))))</f>
        <v>35.68295507889809</v>
      </c>
      <c r="F32" s="195" t="b">
        <f>OR(E32=Calc!L2,E32=Calc!L3)</f>
        <v>1</v>
      </c>
      <c r="G32" s="90"/>
      <c r="H32" s="84"/>
      <c r="I32" s="59"/>
      <c r="J32" s="201"/>
      <c r="K32" s="247" t="s">
        <v>55</v>
      </c>
      <c r="L32" s="227"/>
      <c r="M32" s="175"/>
    </row>
    <row r="33" spans="1:13" ht="19.5" customHeight="1">
      <c r="A33" s="110"/>
      <c r="B33" s="111"/>
      <c r="C33" s="111"/>
      <c r="D33" s="111"/>
      <c r="E33" s="111"/>
      <c r="F33" s="111"/>
      <c r="G33" s="111"/>
      <c r="H33" s="111"/>
      <c r="I33" s="64"/>
      <c r="J33" s="215"/>
      <c r="K33" s="247"/>
      <c r="L33" s="166"/>
      <c r="M33" s="163"/>
    </row>
    <row r="34" spans="1:12" ht="13.5" customHeight="1" thickBot="1">
      <c r="A34" s="112" t="s">
        <v>36</v>
      </c>
      <c r="B34" s="112"/>
      <c r="C34" s="112"/>
      <c r="D34" s="112"/>
      <c r="E34" s="112"/>
      <c r="F34" s="112"/>
      <c r="G34" s="112"/>
      <c r="H34" s="112"/>
      <c r="I34" s="113"/>
      <c r="J34" s="216"/>
      <c r="K34" s="247"/>
      <c r="L34" s="230"/>
    </row>
    <row r="35" spans="1:12" s="181" customFormat="1" ht="13.5" customHeight="1">
      <c r="A35" s="161" t="s">
        <v>31</v>
      </c>
      <c r="B35" s="178" t="s">
        <v>10</v>
      </c>
      <c r="C35" s="179" t="s">
        <v>11</v>
      </c>
      <c r="D35" s="179"/>
      <c r="E35" s="179"/>
      <c r="F35" s="162" t="s">
        <v>33</v>
      </c>
      <c r="G35" s="142" t="s">
        <v>44</v>
      </c>
      <c r="H35" s="143"/>
      <c r="I35" s="114"/>
      <c r="J35" s="217"/>
      <c r="K35" s="247"/>
      <c r="L35" s="180"/>
    </row>
    <row r="36" spans="1:12" s="168" customFormat="1" ht="13.5" customHeight="1">
      <c r="A36" s="182" t="s">
        <v>32</v>
      </c>
      <c r="B36" s="183" t="s">
        <v>9</v>
      </c>
      <c r="C36" s="183" t="s">
        <v>6</v>
      </c>
      <c r="D36" s="183" t="s">
        <v>5</v>
      </c>
      <c r="E36" s="183" t="s">
        <v>3</v>
      </c>
      <c r="F36" s="184" t="s">
        <v>40</v>
      </c>
      <c r="G36" s="146" t="s">
        <v>43</v>
      </c>
      <c r="H36" s="147" t="s">
        <v>42</v>
      </c>
      <c r="I36" s="115"/>
      <c r="J36" s="218"/>
      <c r="K36" s="247"/>
      <c r="L36" s="231"/>
    </row>
    <row r="37" spans="1:12" ht="13.5" customHeight="1">
      <c r="A37" s="148" t="s">
        <v>15</v>
      </c>
      <c r="B37" s="149">
        <f>90-64.5016667</f>
        <v>25.4983333</v>
      </c>
      <c r="C37" s="149">
        <f>(16*60+30.5)/60</f>
        <v>16.508333333333333</v>
      </c>
      <c r="D37" s="149">
        <f>(291*60+1.1)/60</f>
        <v>291.0183333333333</v>
      </c>
      <c r="E37" s="150">
        <f>(4*60+39.1)/60</f>
        <v>4.651666666666667</v>
      </c>
      <c r="F37" s="151">
        <v>1</v>
      </c>
      <c r="G37" s="152">
        <v>45.058043</v>
      </c>
      <c r="H37" s="153">
        <v>-5.87575</v>
      </c>
      <c r="I37" s="37"/>
      <c r="J37" s="205"/>
      <c r="K37" s="247"/>
      <c r="L37" s="223"/>
    </row>
    <row r="38" spans="1:12" ht="13.5" customHeight="1">
      <c r="A38" s="148" t="s">
        <v>16</v>
      </c>
      <c r="B38" s="149">
        <f>90-34.395</f>
        <v>55.605</v>
      </c>
      <c r="C38" s="149">
        <f>(23*60+27.7)/60</f>
        <v>23.461666666666666</v>
      </c>
      <c r="D38" s="149">
        <f>(328*60+12.5)/60</f>
        <v>328.2083333333333</v>
      </c>
      <c r="E38" s="155"/>
      <c r="F38" s="151">
        <v>1</v>
      </c>
      <c r="G38" s="152">
        <v>0.348969</v>
      </c>
      <c r="H38" s="153">
        <v>0.89394</v>
      </c>
      <c r="I38" s="37"/>
      <c r="J38" s="199"/>
      <c r="K38" s="247"/>
      <c r="L38" s="223"/>
    </row>
    <row r="39" spans="1:12" ht="13.5" customHeight="1" thickBot="1">
      <c r="A39" s="156" t="s">
        <v>49</v>
      </c>
      <c r="B39" s="157">
        <v>36528</v>
      </c>
      <c r="C39" s="158">
        <v>0.7277777777777777</v>
      </c>
      <c r="D39" s="159" t="s">
        <v>37</v>
      </c>
      <c r="E39" s="159"/>
      <c r="F39" s="160">
        <v>-1</v>
      </c>
      <c r="G39" s="164"/>
      <c r="H39" s="165"/>
      <c r="I39" s="37"/>
      <c r="J39" s="199"/>
      <c r="K39" s="247"/>
      <c r="L39" s="223"/>
    </row>
    <row r="40" spans="1:12" ht="13.5" customHeight="1">
      <c r="A40" s="185"/>
      <c r="B40" s="186"/>
      <c r="C40" s="186"/>
      <c r="D40" s="186"/>
      <c r="E40" s="186"/>
      <c r="F40" s="187"/>
      <c r="G40" s="188"/>
      <c r="H40" s="188"/>
      <c r="J40" s="219"/>
      <c r="K40" s="248"/>
      <c r="L40" s="223"/>
    </row>
    <row r="41" spans="1:11" ht="13.5" customHeight="1">
      <c r="A41" s="148" t="s">
        <v>0</v>
      </c>
      <c r="B41" s="149">
        <f>(27*60+30.1)/60</f>
        <v>27.501666666666665</v>
      </c>
      <c r="C41" s="149">
        <f>(26*60+41)/60</f>
        <v>26.683333333333334</v>
      </c>
      <c r="D41" s="149">
        <f>(126*60+13.8)/60</f>
        <v>126.23</v>
      </c>
      <c r="E41" s="150">
        <f>(182*60+23.2)/60</f>
        <v>182.38666666666668</v>
      </c>
      <c r="F41" s="151">
        <v>1</v>
      </c>
      <c r="G41" s="152">
        <v>30.505962</v>
      </c>
      <c r="H41" s="153">
        <v>-20.934739</v>
      </c>
      <c r="J41" s="117"/>
      <c r="K41" s="234"/>
    </row>
    <row r="42" spans="1:12" ht="13.5" customHeight="1">
      <c r="A42" s="148" t="s">
        <v>1</v>
      </c>
      <c r="B42" s="149">
        <f>(26*60+33.7)/60</f>
        <v>26.561666666666667</v>
      </c>
      <c r="C42" s="149">
        <f>(46*60+0.5)/60</f>
        <v>46.00833333333333</v>
      </c>
      <c r="D42" s="149">
        <f>(280*60+40.6)/60</f>
        <v>280.6766666666666</v>
      </c>
      <c r="E42" s="155"/>
      <c r="F42" s="151">
        <v>-1</v>
      </c>
      <c r="G42" s="152">
        <v>61.742056</v>
      </c>
      <c r="H42" s="153">
        <v>132.375547</v>
      </c>
      <c r="J42" s="219"/>
      <c r="K42" s="246" t="s">
        <v>58</v>
      </c>
      <c r="L42" s="223"/>
    </row>
    <row r="43" spans="1:12" ht="13.5" customHeight="1" thickBot="1">
      <c r="A43" s="156" t="s">
        <v>49</v>
      </c>
      <c r="B43" s="157">
        <v>39586</v>
      </c>
      <c r="C43" s="158">
        <v>0.8486111111111111</v>
      </c>
      <c r="D43" s="159" t="s">
        <v>37</v>
      </c>
      <c r="E43" s="159"/>
      <c r="F43" s="160">
        <v>-1</v>
      </c>
      <c r="G43" s="164"/>
      <c r="H43" s="165"/>
      <c r="J43" s="219"/>
      <c r="K43" s="247" t="s">
        <v>60</v>
      </c>
      <c r="L43" s="223"/>
    </row>
    <row r="44" spans="1:12" ht="13.5" customHeight="1">
      <c r="A44" s="189"/>
      <c r="B44" s="169"/>
      <c r="C44" s="169"/>
      <c r="D44" s="169"/>
      <c r="E44" s="169"/>
      <c r="J44" s="220"/>
      <c r="K44" s="247"/>
      <c r="L44" s="223"/>
    </row>
    <row r="45" spans="1:12" ht="13.5" customHeight="1">
      <c r="A45" s="148" t="s">
        <v>30</v>
      </c>
      <c r="B45" s="149">
        <f>(48*60+37.1)/60</f>
        <v>48.61833333333333</v>
      </c>
      <c r="C45" s="149">
        <f>-(59*60+44.3)/60</f>
        <v>-59.73833333333334</v>
      </c>
      <c r="D45" s="149">
        <f>(167*60+56.3)/60</f>
        <v>167.93833333333333</v>
      </c>
      <c r="E45" s="150">
        <f>(255*60+48.2)/60</f>
        <v>255.80333333333334</v>
      </c>
      <c r="F45" s="151">
        <v>1</v>
      </c>
      <c r="G45" s="152">
        <v>-30.010593</v>
      </c>
      <c r="H45" s="153">
        <v>-106.902148</v>
      </c>
      <c r="J45" s="221"/>
      <c r="K45" s="247"/>
      <c r="L45" s="223"/>
    </row>
    <row r="46" spans="1:12" ht="13.5" customHeight="1">
      <c r="A46" s="148" t="s">
        <v>2</v>
      </c>
      <c r="B46" s="149">
        <f>(37*60+41.5)/60</f>
        <v>37.69166666666667</v>
      </c>
      <c r="C46" s="149">
        <f>(14*60+31.4)/60</f>
        <v>14.523333333333333</v>
      </c>
      <c r="D46" s="149">
        <f>(182*60+37.3)/60</f>
        <v>182.62166666666664</v>
      </c>
      <c r="E46" s="155"/>
      <c r="F46" s="151">
        <v>1</v>
      </c>
      <c r="G46" s="152">
        <v>-21.879717</v>
      </c>
      <c r="H46" s="153">
        <v>-40.113526</v>
      </c>
      <c r="J46" s="221"/>
      <c r="K46" s="247"/>
      <c r="L46" s="223"/>
    </row>
    <row r="47" spans="1:12" ht="13.5" customHeight="1" thickBot="1">
      <c r="A47" s="156" t="s">
        <v>49</v>
      </c>
      <c r="B47" s="157">
        <v>39545</v>
      </c>
      <c r="C47" s="158">
        <v>0.16666666666666666</v>
      </c>
      <c r="D47" s="159" t="s">
        <v>37</v>
      </c>
      <c r="E47" s="159"/>
      <c r="F47" s="160">
        <v>1</v>
      </c>
      <c r="G47" s="164"/>
      <c r="H47" s="165"/>
      <c r="J47" s="221"/>
      <c r="K47" s="247"/>
      <c r="L47" s="223"/>
    </row>
    <row r="48" spans="1:12" s="163" customFormat="1" ht="13.5" customHeight="1">
      <c r="A48" s="192"/>
      <c r="B48" s="169"/>
      <c r="C48" s="169"/>
      <c r="D48" s="169"/>
      <c r="E48" s="169"/>
      <c r="F48" s="174"/>
      <c r="G48" s="169"/>
      <c r="H48" s="169"/>
      <c r="I48" s="118"/>
      <c r="J48" s="222"/>
      <c r="K48" s="247"/>
      <c r="L48" s="166"/>
    </row>
    <row r="49" spans="1:12" ht="13.5" customHeight="1">
      <c r="A49" s="148"/>
      <c r="B49" s="149"/>
      <c r="C49" s="149"/>
      <c r="D49" s="149"/>
      <c r="E49" s="150"/>
      <c r="F49" s="151">
        <v>1</v>
      </c>
      <c r="G49" s="152"/>
      <c r="H49" s="153"/>
      <c r="J49" s="221"/>
      <c r="K49" s="248"/>
      <c r="L49" s="223"/>
    </row>
    <row r="50" spans="1:11" ht="13.5" customHeight="1">
      <c r="A50" s="148"/>
      <c r="B50" s="149"/>
      <c r="C50" s="149"/>
      <c r="D50" s="149"/>
      <c r="E50" s="155"/>
      <c r="F50" s="151">
        <v>1</v>
      </c>
      <c r="G50" s="152"/>
      <c r="H50" s="153"/>
      <c r="K50" s="234"/>
    </row>
    <row r="51" spans="1:12" ht="13.5" customHeight="1" thickBot="1">
      <c r="A51" s="156" t="s">
        <v>49</v>
      </c>
      <c r="B51" s="157"/>
      <c r="C51" s="158"/>
      <c r="D51" s="159" t="s">
        <v>37</v>
      </c>
      <c r="E51" s="159"/>
      <c r="F51" s="160">
        <v>1</v>
      </c>
      <c r="G51" s="164"/>
      <c r="H51" s="165"/>
      <c r="J51" s="221"/>
      <c r="K51" s="246" t="s">
        <v>54</v>
      </c>
      <c r="L51" s="223"/>
    </row>
    <row r="52" spans="1:12" s="163" customFormat="1" ht="13.5" customHeight="1">
      <c r="A52" s="192"/>
      <c r="B52" s="169"/>
      <c r="C52" s="169"/>
      <c r="D52" s="169"/>
      <c r="E52" s="169"/>
      <c r="F52" s="174"/>
      <c r="G52" s="169"/>
      <c r="H52" s="169"/>
      <c r="I52" s="118"/>
      <c r="J52" s="222"/>
      <c r="K52" s="247" t="s">
        <v>63</v>
      </c>
      <c r="L52" s="166"/>
    </row>
    <row r="53" spans="1:12" ht="13.5" customHeight="1">
      <c r="A53" s="148"/>
      <c r="B53" s="149"/>
      <c r="C53" s="149"/>
      <c r="D53" s="149"/>
      <c r="E53" s="150"/>
      <c r="F53" s="151">
        <v>1</v>
      </c>
      <c r="G53" s="152"/>
      <c r="H53" s="153"/>
      <c r="J53" s="221"/>
      <c r="K53" s="247"/>
      <c r="L53" s="223"/>
    </row>
    <row r="54" spans="1:12" ht="13.5" customHeight="1">
      <c r="A54" s="148"/>
      <c r="B54" s="149"/>
      <c r="C54" s="149"/>
      <c r="D54" s="149"/>
      <c r="E54" s="155"/>
      <c r="F54" s="151">
        <v>1</v>
      </c>
      <c r="G54" s="152"/>
      <c r="H54" s="153"/>
      <c r="J54" s="221"/>
      <c r="K54" s="247"/>
      <c r="L54" s="223"/>
    </row>
    <row r="55" spans="1:12" ht="13.5" customHeight="1" thickBot="1">
      <c r="A55" s="156" t="s">
        <v>49</v>
      </c>
      <c r="B55" s="157"/>
      <c r="C55" s="158"/>
      <c r="D55" s="159" t="s">
        <v>37</v>
      </c>
      <c r="E55" s="159"/>
      <c r="F55" s="160">
        <v>1</v>
      </c>
      <c r="G55" s="164"/>
      <c r="H55" s="165"/>
      <c r="J55" s="221"/>
      <c r="K55" s="247"/>
      <c r="L55" s="223"/>
    </row>
    <row r="56" spans="1:12" s="163" customFormat="1" ht="13.5" customHeight="1">
      <c r="A56" s="192"/>
      <c r="B56" s="169"/>
      <c r="C56" s="169"/>
      <c r="D56" s="169"/>
      <c r="E56" s="169"/>
      <c r="F56" s="174"/>
      <c r="G56" s="169"/>
      <c r="H56" s="169"/>
      <c r="I56" s="118"/>
      <c r="J56" s="222"/>
      <c r="K56" s="247"/>
      <c r="L56" s="166"/>
    </row>
    <row r="57" spans="1:12" ht="13.5" customHeight="1">
      <c r="A57" s="148"/>
      <c r="B57" s="149"/>
      <c r="C57" s="149"/>
      <c r="D57" s="149"/>
      <c r="E57" s="150"/>
      <c r="F57" s="151">
        <v>1</v>
      </c>
      <c r="G57" s="152"/>
      <c r="H57" s="153"/>
      <c r="J57" s="221"/>
      <c r="K57" s="247"/>
      <c r="L57" s="223"/>
    </row>
    <row r="58" spans="1:12" ht="13.5" customHeight="1">
      <c r="A58" s="148"/>
      <c r="B58" s="149"/>
      <c r="C58" s="149"/>
      <c r="D58" s="149"/>
      <c r="E58" s="155"/>
      <c r="F58" s="151">
        <v>1</v>
      </c>
      <c r="G58" s="152"/>
      <c r="H58" s="153"/>
      <c r="J58" s="221"/>
      <c r="K58" s="247"/>
      <c r="L58" s="223"/>
    </row>
    <row r="59" spans="1:12" ht="13.5" customHeight="1" thickBot="1">
      <c r="A59" s="156" t="s">
        <v>49</v>
      </c>
      <c r="B59" s="157"/>
      <c r="C59" s="158"/>
      <c r="D59" s="159" t="s">
        <v>37</v>
      </c>
      <c r="E59" s="159"/>
      <c r="F59" s="160">
        <v>1</v>
      </c>
      <c r="G59" s="164"/>
      <c r="H59" s="165"/>
      <c r="J59" s="221"/>
      <c r="K59" s="247"/>
      <c r="L59" s="223"/>
    </row>
    <row r="60" spans="1:12" s="163" customFormat="1" ht="13.5" customHeight="1">
      <c r="A60" s="192"/>
      <c r="B60" s="169"/>
      <c r="C60" s="169"/>
      <c r="D60" s="169"/>
      <c r="E60" s="169"/>
      <c r="F60" s="174"/>
      <c r="G60" s="169"/>
      <c r="H60" s="169"/>
      <c r="I60" s="118"/>
      <c r="J60" s="222"/>
      <c r="K60" s="247"/>
      <c r="L60" s="166"/>
    </row>
    <row r="61" spans="10:12" ht="13.5" customHeight="1">
      <c r="J61" s="221"/>
      <c r="K61" s="248"/>
      <c r="L61" s="223"/>
    </row>
    <row r="62" ht="13.5" customHeight="1">
      <c r="K62" s="236"/>
    </row>
  </sheetData>
  <sheetProtection sheet="1" objects="1" scenarios="1"/>
  <mergeCells count="39">
    <mergeCell ref="K52:K61"/>
    <mergeCell ref="G5:H5"/>
    <mergeCell ref="G39:H39"/>
    <mergeCell ref="G43:H43"/>
    <mergeCell ref="G47:H47"/>
    <mergeCell ref="G51:H51"/>
    <mergeCell ref="G55:H55"/>
    <mergeCell ref="G59:H59"/>
    <mergeCell ref="K16:K29"/>
    <mergeCell ref="D55:E55"/>
    <mergeCell ref="E57:E58"/>
    <mergeCell ref="D59:E59"/>
    <mergeCell ref="G10:H10"/>
    <mergeCell ref="G35:H35"/>
    <mergeCell ref="E49:E50"/>
    <mergeCell ref="D51:E51"/>
    <mergeCell ref="D43:E43"/>
    <mergeCell ref="D47:E47"/>
    <mergeCell ref="E18:E19"/>
    <mergeCell ref="E53:E54"/>
    <mergeCell ref="D20:E20"/>
    <mergeCell ref="D39:E39"/>
    <mergeCell ref="C35:E35"/>
    <mergeCell ref="A34:H34"/>
    <mergeCell ref="E37:E38"/>
    <mergeCell ref="E41:E42"/>
    <mergeCell ref="E45:E46"/>
    <mergeCell ref="G1:H1"/>
    <mergeCell ref="C1:E1"/>
    <mergeCell ref="D10:E10"/>
    <mergeCell ref="D15:E15"/>
    <mergeCell ref="E8:E9"/>
    <mergeCell ref="E13:E14"/>
    <mergeCell ref="G15:H15"/>
    <mergeCell ref="E3:E4"/>
    <mergeCell ref="D5:E5"/>
    <mergeCell ref="K2:K8"/>
    <mergeCell ref="K32:K40"/>
    <mergeCell ref="K43:K49"/>
  </mergeCells>
  <conditionalFormatting sqref="F28">
    <cfRule type="expression" priority="1" dxfId="0" stopIfTrue="1">
      <formula>OR(F28=H8,F28=H13)=TRUE</formula>
    </cfRule>
    <cfRule type="expression" priority="2" dxfId="1" stopIfTrue="1">
      <formula>OR(F28=H8,F28=H13)=FALSE</formula>
    </cfRule>
  </conditionalFormatting>
  <conditionalFormatting sqref="F26">
    <cfRule type="expression" priority="3" dxfId="0" stopIfTrue="1">
      <formula>OR(F26=G8,F26=G13)=TRUE</formula>
    </cfRule>
    <cfRule type="expression" priority="4" dxfId="1" stopIfTrue="1">
      <formula>OR(F26=G8,F26=G13)=FALSE</formula>
    </cfRule>
  </conditionalFormatting>
  <conditionalFormatting sqref="C8:C9">
    <cfRule type="expression" priority="5" dxfId="2" stopIfTrue="1">
      <formula>AND(C3&lt;0,C3&gt;-90)</formula>
    </cfRule>
    <cfRule type="expression" priority="6" dxfId="3" stopIfTrue="1">
      <formula>C3&lt;=-90</formula>
    </cfRule>
    <cfRule type="expression" priority="7" dxfId="1" stopIfTrue="1">
      <formula>C3&gt;=90</formula>
    </cfRule>
  </conditionalFormatting>
  <conditionalFormatting sqref="B8:B9">
    <cfRule type="expression" priority="8" dxfId="4" stopIfTrue="1">
      <formula>B3&lt;0</formula>
    </cfRule>
    <cfRule type="expression" priority="9" dxfId="1" stopIfTrue="1">
      <formula>B3&gt;90</formula>
    </cfRule>
  </conditionalFormatting>
  <conditionalFormatting sqref="D8:E9">
    <cfRule type="expression" priority="10" dxfId="4" stopIfTrue="1">
      <formula>D3&lt;0</formula>
    </cfRule>
    <cfRule type="expression" priority="11" dxfId="1" stopIfTrue="1">
      <formula>D3&gt;360</formula>
    </cfRule>
  </conditionalFormatting>
  <conditionalFormatting sqref="B13:B14">
    <cfRule type="expression" priority="12" dxfId="4" stopIfTrue="1">
      <formula>B3&lt;0</formula>
    </cfRule>
    <cfRule type="expression" priority="13" dxfId="1" stopIfTrue="1">
      <formula>B3&gt;90</formula>
    </cfRule>
  </conditionalFormatting>
  <conditionalFormatting sqref="C13:C14">
    <cfRule type="expression" priority="14" dxfId="2" stopIfTrue="1">
      <formula>AND(C3&lt;0,C3&gt;-90)</formula>
    </cfRule>
    <cfRule type="expression" priority="15" dxfId="3" stopIfTrue="1">
      <formula>C3&lt;=-90</formula>
    </cfRule>
    <cfRule type="expression" priority="16" dxfId="1" stopIfTrue="1">
      <formula>C3&gt;=90</formula>
    </cfRule>
  </conditionalFormatting>
  <conditionalFormatting sqref="D13:E14">
    <cfRule type="expression" priority="17" dxfId="4" stopIfTrue="1">
      <formula>D3&lt;0</formula>
    </cfRule>
    <cfRule type="expression" priority="18" dxfId="1" stopIfTrue="1">
      <formula>D3&gt;360</formula>
    </cfRule>
  </conditionalFormatting>
  <conditionalFormatting sqref="E30">
    <cfRule type="expression" priority="19" dxfId="0" stopIfTrue="1">
      <formula>$F$30=TRUE</formula>
    </cfRule>
    <cfRule type="expression" priority="20" dxfId="1" stopIfTrue="1">
      <formula>$F$30=FALSE</formula>
    </cfRule>
  </conditionalFormatting>
  <conditionalFormatting sqref="E32">
    <cfRule type="expression" priority="21" dxfId="0" stopIfTrue="1">
      <formula>$F$32=TRUE</formula>
    </cfRule>
    <cfRule type="expression" priority="22" dxfId="1" stopIfTrue="1">
      <formula>$F$32=FALSE</formula>
    </cfRule>
  </conditionalFormatting>
  <conditionalFormatting sqref="G9">
    <cfRule type="expression" priority="23" dxfId="5" stopIfTrue="1">
      <formula>$G$8&lt;0</formula>
    </cfRule>
  </conditionalFormatting>
  <conditionalFormatting sqref="G14">
    <cfRule type="expression" priority="24" dxfId="5" stopIfTrue="1">
      <formula>$G$13&lt;0</formula>
    </cfRule>
  </conditionalFormatting>
  <conditionalFormatting sqref="H9">
    <cfRule type="expression" priority="25" dxfId="5" stopIfTrue="1">
      <formula>$H$8&lt;0</formula>
    </cfRule>
  </conditionalFormatting>
  <conditionalFormatting sqref="H14">
    <cfRule type="expression" priority="26" dxfId="5" stopIfTrue="1">
      <formula>$H$13&lt;0</formula>
    </cfRule>
  </conditionalFormatting>
  <conditionalFormatting sqref="F3:F5 F37:F39 F41:F43 F45:F47 F49:F51 F53:F55 F57:F59 F18:F20">
    <cfRule type="expression" priority="27" dxfId="1" stopIfTrue="1">
      <formula>ABS(F3)&lt;&gt;1</formula>
    </cfRule>
  </conditionalFormatting>
  <conditionalFormatting sqref="B3:B4 B37:B38 B41:B42 B45:B46 B49:B50 B53:B54 B57:B58 B18:B19">
    <cfRule type="expression" priority="28" dxfId="1" stopIfTrue="1">
      <formula>OR(B3&lt;0,B3&gt;90)</formula>
    </cfRule>
  </conditionalFormatting>
  <conditionalFormatting sqref="D18:E19 D37:E38 D41:E42 D45:E46 D49:E50 D53:E54 D57:E58 D3:D4 E3">
    <cfRule type="expression" priority="29" dxfId="1" stopIfTrue="1">
      <formula>OR(D3&lt;0,D3&gt;360)</formula>
    </cfRule>
  </conditionalFormatting>
  <conditionalFormatting sqref="C3:C4 C37:C38 C41:C42 C45:C46 C49:C50 C53:C54 C57:C58 C18:C19">
    <cfRule type="expression" priority="30" dxfId="1" stopIfTrue="1">
      <formula>ABS(C3)&gt;=90</formula>
    </cfRule>
  </conditionalFormatting>
  <conditionalFormatting sqref="F13:F14 F8:F9">
    <cfRule type="expression" priority="31" dxfId="5" stopIfTrue="1">
      <formula>RIGHT(F8,1)="W"</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M61"/>
  <sheetViews>
    <sheetView workbookViewId="0" topLeftCell="A1">
      <selection activeCell="F1" sqref="F1"/>
    </sheetView>
  </sheetViews>
  <sheetFormatPr defaultColWidth="9.140625" defaultRowHeight="13.5" customHeight="1"/>
  <cols>
    <col min="1" max="1" width="15.140625" style="8" bestFit="1" customWidth="1"/>
    <col min="2" max="4" width="11.7109375" style="1" bestFit="1" customWidth="1"/>
    <col min="5" max="5" width="11.7109375" style="1" customWidth="1"/>
    <col min="6" max="6" width="11.7109375" style="1" bestFit="1" customWidth="1"/>
    <col min="7" max="7" width="7.57421875" style="5" customWidth="1"/>
    <col min="8" max="8" width="16.8515625" style="8" bestFit="1" customWidth="1"/>
    <col min="9" max="10" width="11.7109375" style="8" bestFit="1" customWidth="1"/>
    <col min="11" max="12" width="16.7109375" style="8" customWidth="1"/>
    <col min="13" max="13" width="11.7109375" style="8" bestFit="1" customWidth="1"/>
    <col min="14" max="16384" width="9.140625" style="8" customWidth="1"/>
  </cols>
  <sheetData>
    <row r="1" spans="1:13" s="2" customFormat="1" ht="13.5" customHeight="1">
      <c r="A1" s="120" t="s">
        <v>31</v>
      </c>
      <c r="B1" s="121" t="s">
        <v>28</v>
      </c>
      <c r="C1" s="122" t="s">
        <v>6</v>
      </c>
      <c r="D1" s="122" t="s">
        <v>5</v>
      </c>
      <c r="E1" s="123" t="s">
        <v>3</v>
      </c>
      <c r="F1" s="119"/>
      <c r="H1" s="120" t="s">
        <v>52</v>
      </c>
      <c r="I1" s="130" t="s">
        <v>12</v>
      </c>
      <c r="J1" s="130" t="s">
        <v>13</v>
      </c>
      <c r="K1" s="130" t="str">
        <f>CONCATENATE("Z de ",A2)</f>
        <v>Z de Mimosa</v>
      </c>
      <c r="L1" s="130" t="str">
        <f>CONCATENATE("Z de ",A3)</f>
        <v>Z de Denébola</v>
      </c>
      <c r="M1" s="131" t="s">
        <v>39</v>
      </c>
    </row>
    <row r="2" spans="1:13" ht="13.5" customHeight="1">
      <c r="A2" s="124" t="str">
        <f>Circulos!A3</f>
        <v>Mimosa</v>
      </c>
      <c r="B2" s="125">
        <f>Circulos!B3</f>
        <v>48.61833333333333</v>
      </c>
      <c r="C2" s="125">
        <f>Circulos!C3</f>
        <v>-59.73833333333334</v>
      </c>
      <c r="D2" s="125">
        <f>Circulos!D3</f>
        <v>167.93833333333333</v>
      </c>
      <c r="E2" s="126">
        <f>Circulos!E3</f>
        <v>255.80333333333334</v>
      </c>
      <c r="H2" s="132" t="s">
        <v>46</v>
      </c>
      <c r="I2" s="133">
        <f>IF(G7=1,F7,IF(G14=1,F14,IF(G21=1,F21,IF(G28=1,F28,IF(G35=1,F35,IF(G42=1,F42,F49))))))</f>
        <v>-30.01056291827051</v>
      </c>
      <c r="J2" s="134">
        <f>IF(G7=1,F8,IF(G14=1,F15,IF(G21=1,F22,IF(G28=1,F29,IF(G35=1,F36,IF(G42=1,F50))))))</f>
        <v>-106.90215845654501</v>
      </c>
      <c r="K2" s="135">
        <f>IF(G7=1,L10,IF(G14=1,L17,IF(G21=1,L24,IF(G28=1,L31,IF(G35=1,L38,IF(G42=1,L45,L52))))))</f>
        <v>148.56960964747142</v>
      </c>
      <c r="L2" s="135">
        <f>IF(G7=1,E10,IF(G14=1,E17,IF(G21=1,E24,IF(G28=1,E31,IF(G35=1,E38,IF(G42=1,E45,E52))))))</f>
        <v>35.68295507889809</v>
      </c>
      <c r="M2" s="136">
        <f>IF(G7=1,B9,IF(G14=1,B16,IF(G21=1,B23,IF(G28=1,B30,IF(G35=1,B37,IF(G42=1,B44,0))))))</f>
        <v>1</v>
      </c>
    </row>
    <row r="3" spans="1:13" ht="13.5" customHeight="1" thickBot="1">
      <c r="A3" s="127" t="str">
        <f>Circulos!A4</f>
        <v>Denébola</v>
      </c>
      <c r="B3" s="128">
        <f>Circulos!B4</f>
        <v>37.69166666666667</v>
      </c>
      <c r="C3" s="128">
        <f>Circulos!C4</f>
        <v>14.523333333333333</v>
      </c>
      <c r="D3" s="128">
        <f>Circulos!D4</f>
        <v>182.62166666666664</v>
      </c>
      <c r="E3" s="129"/>
      <c r="H3" s="137" t="s">
        <v>47</v>
      </c>
      <c r="I3" s="138">
        <f>IF(G56=1,F56,IF(G49=1,F49,IF(G42=1,F42,IF(G35=1,F35,IF(G28=1,F28,IF(G21=1,F21,F14))))))</f>
        <v>-21.879717124069842</v>
      </c>
      <c r="J3" s="138">
        <f>IF(G56=1,F57,IF(G49=1,F50,IF(G42=1,F43,IF(G35=1,F36,IF(G28=1,F29,IF(G21=1,F22,F15))))))</f>
        <v>-40.11352578879843</v>
      </c>
      <c r="K3" s="139">
        <f>IF(G56=1,L59,IF(G49=1,L52,IF(G42=1,L45,IF(G35=1,L38,IF(G28=1,L31,IF(G21=1,L24,L17))))))</f>
        <v>-162.209459453648</v>
      </c>
      <c r="L3" s="139">
        <f>IF(G56=1,E59,IF(G49=1,E52,IF(G42=1,E45,IF(G35=1,E38,IF(G28=1,E31,IF(G21=1,E24,E17))))))</f>
        <v>-49.322804885074575</v>
      </c>
      <c r="M3" s="140">
        <f>IF(G56=1,B58,IF(G49=1,B51,IF(G42=1,B44,IF(G35=1,B37,IF(G28=1,B30,IF(G21=1,B23,B16))))))</f>
        <v>-1</v>
      </c>
    </row>
    <row r="4" spans="6:13" s="4" customFormat="1" ht="13.5" customHeight="1">
      <c r="F4" s="5"/>
      <c r="G4" s="5"/>
      <c r="H4" s="6"/>
      <c r="I4" s="12"/>
      <c r="J4" s="12"/>
      <c r="K4" s="11"/>
      <c r="L4" s="11"/>
      <c r="M4" s="16">
        <f>IF(AND(SIGN(K2)=Circulos!F3,SIGN(L2)=Circulos!F4,M2=Circulos!F5),1,0)</f>
        <v>1</v>
      </c>
    </row>
    <row r="5" spans="1:13" ht="13.5" customHeight="1">
      <c r="A5" s="8" t="s">
        <v>21</v>
      </c>
      <c r="B5" s="10">
        <f>90-$C$3</f>
        <v>75.47666666666666</v>
      </c>
      <c r="C5" s="10">
        <f>90-$C$2</f>
        <v>149.73833333333334</v>
      </c>
      <c r="D5" s="10">
        <f>$D$3-$D$2</f>
        <v>14.683333333333309</v>
      </c>
      <c r="E5" s="10">
        <f>DEGREES(ACOS(COS(B5*PI()/180)*COS(C5*PI()/180)+(SIN(B5*PI()/180)*SIN(C5*PI()/180)*(COS(D5*PI()/180)))))</f>
        <v>75.20791786067988</v>
      </c>
      <c r="F5" s="1">
        <f>DEGREES(ACOS((COS(C5*PI()/180)-COS(B5*PI()/180)*COS(E5*PI()/180))/(SIN(B5*PI()/180)*SIN(E5*PI()/180))))</f>
        <v>172.4079966258099</v>
      </c>
      <c r="H5" s="8" t="s">
        <v>21</v>
      </c>
      <c r="I5" s="10">
        <f>90-$C$2</f>
        <v>149.73833333333334</v>
      </c>
      <c r="J5" s="10">
        <f>90-$C$3</f>
        <v>75.47666666666666</v>
      </c>
      <c r="K5" s="10">
        <f>$D$2-$D$3</f>
        <v>-14.683333333333309</v>
      </c>
      <c r="L5" s="10">
        <f>DEGREES(ACOS(COS(I5*PI()/180)*COS(J5*PI()/180)+(SIN(I5*PI()/180)*SIN(J5*PI()/180)*(COS(K5*PI()/180)))))</f>
        <v>75.20791786067988</v>
      </c>
      <c r="M5" s="1">
        <f>DEGREES(ACOS((COS(J5*PI()/180)-COS(I5*PI()/180)*COS(L5*PI()/180))/(SIN(I5*PI()/180)*SIN(L5*PI()/180))))</f>
        <v>14.701764605361708</v>
      </c>
    </row>
    <row r="6" spans="1:13" ht="13.5" customHeight="1">
      <c r="A6" s="8" t="s">
        <v>22</v>
      </c>
      <c r="B6" s="10">
        <f>90-$B$2</f>
        <v>41.38166666666667</v>
      </c>
      <c r="C6" s="10">
        <f>90-$B$3</f>
        <v>52.30833333333333</v>
      </c>
      <c r="D6" s="10">
        <f>E5</f>
        <v>75.20791786067988</v>
      </c>
      <c r="E6" s="10">
        <f>DEGREES(ACOS((COS(B6*PI()/180)-COS(C6*PI()/180)*COS(D6*PI()/180))/(SIN(C6*PI()/180)*SIN(D6*PI()/180))))</f>
        <v>39.043151298406265</v>
      </c>
      <c r="F6" s="5">
        <f>(E6+F5*E9*F9*B9)</f>
        <v>211.45114792421614</v>
      </c>
      <c r="H6" s="8" t="s">
        <v>22</v>
      </c>
      <c r="I6" s="10">
        <f>90-$B$3</f>
        <v>52.30833333333333</v>
      </c>
      <c r="J6" s="10">
        <f>90-$B$2</f>
        <v>41.38166666666667</v>
      </c>
      <c r="K6" s="10">
        <f>L5</f>
        <v>75.20791786067988</v>
      </c>
      <c r="L6" s="10">
        <f>DEGREES(ACOS((COS(I6*PI()/180)-COS(J6*PI()/180)*COS(K6*PI()/180))/(SIN(J6*PI()/180)*SIN(K6*PI()/180))))</f>
        <v>48.93858751681014</v>
      </c>
      <c r="M6" s="5">
        <f>(L6+M5*L9*M9*I9)</f>
        <v>63.64035212217185</v>
      </c>
    </row>
    <row r="7" spans="1:13" ht="13.5" customHeight="1">
      <c r="A7" s="8" t="s">
        <v>26</v>
      </c>
      <c r="B7" s="10">
        <f>90-$B$3</f>
        <v>52.30833333333333</v>
      </c>
      <c r="C7" s="10">
        <f>90-$C$3</f>
        <v>75.47666666666666</v>
      </c>
      <c r="D7" s="10">
        <f>F6</f>
        <v>211.45114792421614</v>
      </c>
      <c r="E7" s="10">
        <f>DEGREES(ACOS(COS(B7*PI()/180)*COS(C7*PI()/180)+(SIN(B7*PI()/180)*SIN(C7*PI()/180)*(COS(D7*PI()/180)))))</f>
        <v>120.01056291827051</v>
      </c>
      <c r="F7" s="3">
        <f>90-E7</f>
        <v>-30.01056291827051</v>
      </c>
      <c r="G7" s="22">
        <f>IF(AND(ROUND(F7-M7,6)=0,ROUND(F8-M8,6)=0),1,0)</f>
        <v>1</v>
      </c>
      <c r="H7" s="8" t="s">
        <v>26</v>
      </c>
      <c r="I7" s="10">
        <f>90-$B$2</f>
        <v>41.38166666666667</v>
      </c>
      <c r="J7" s="10">
        <f>90-$C$2</f>
        <v>149.73833333333334</v>
      </c>
      <c r="K7" s="10">
        <f>M6</f>
        <v>63.64035212217185</v>
      </c>
      <c r="L7" s="10">
        <f>DEGREES(ACOS(COS(I7*PI()/180)*COS(J7*PI()/180)+(SIN(I7*PI()/180)*SIN(J7*PI()/180)*(COS(K7*PI()/180)))))</f>
        <v>120.01056291827051</v>
      </c>
      <c r="M7" s="3">
        <f>90-L7</f>
        <v>-30.01056291827051</v>
      </c>
    </row>
    <row r="8" spans="1:13" ht="13.5" customHeight="1">
      <c r="A8" s="15" t="str">
        <f>CONCATENATE("4.- P de ",$A$3)</f>
        <v>4.- P de Denébola</v>
      </c>
      <c r="B8" s="10">
        <f>90-$B$3</f>
        <v>52.30833333333333</v>
      </c>
      <c r="C8" s="10">
        <f>E7</f>
        <v>120.01056291827051</v>
      </c>
      <c r="D8" s="10">
        <f>90-$C$3</f>
        <v>75.47666666666666</v>
      </c>
      <c r="E8" s="11">
        <f>F9*DEGREES(ACOS((COS(B8*PI()/180)-COS(C8*PI()/180)*COS(D8*PI()/180))/(SIN(C8*PI()/180)*SIN(D8*PI()/180))))</f>
        <v>28.47715845654508</v>
      </c>
      <c r="F8" s="3">
        <f>IF(ABS(MOD($D$3+$E$2+E8,360))&gt;180,360-MOD($D$3+$E$2+E8,360),-MOD($D$3+$E$2+E8,360))</f>
        <v>-106.90215845654501</v>
      </c>
      <c r="G8" s="22"/>
      <c r="H8" s="15" t="str">
        <f>CONCATENATE("4.- P de ",$A$2)</f>
        <v>4.- P de Mimosa</v>
      </c>
      <c r="I8" s="10">
        <f>90-$B$2</f>
        <v>41.38166666666667</v>
      </c>
      <c r="J8" s="10">
        <f>L7</f>
        <v>120.01056291827051</v>
      </c>
      <c r="K8" s="10">
        <f>90-$C$2</f>
        <v>149.73833333333334</v>
      </c>
      <c r="L8" s="11">
        <f>M9*DEGREES(ACOS((COS(I8*PI()/180)-COS(J8*PI()/180)*COS(K8*PI()/180))/(SIN(J8*PI()/180)*SIN(K8*PI()/180))))</f>
        <v>43.16049178987836</v>
      </c>
      <c r="M8" s="3">
        <f>IF(ABS(MOD($D$2+$E$2+L8,360))&gt;180,360-MOD($D$2+$E$2+L8,360),-MOD($D$2+$E$2+L8,360))</f>
        <v>-106.90215845654501</v>
      </c>
    </row>
    <row r="9" spans="1:13" s="4" customFormat="1" ht="13.5" customHeight="1">
      <c r="A9" s="18" t="s">
        <v>48</v>
      </c>
      <c r="B9" s="7">
        <v>1</v>
      </c>
      <c r="C9" s="21" t="s">
        <v>45</v>
      </c>
      <c r="D9" s="21"/>
      <c r="E9" s="7">
        <v>1</v>
      </c>
      <c r="F9" s="7">
        <v>1</v>
      </c>
      <c r="G9" s="11"/>
      <c r="H9" s="18" t="s">
        <v>48</v>
      </c>
      <c r="I9" s="19">
        <f>B9</f>
        <v>1</v>
      </c>
      <c r="J9" s="21" t="s">
        <v>45</v>
      </c>
      <c r="K9" s="21"/>
      <c r="L9" s="19">
        <f>F9</f>
        <v>1</v>
      </c>
      <c r="M9" s="19">
        <f>E9</f>
        <v>1</v>
      </c>
    </row>
    <row r="10" spans="1:12" ht="13.5" customHeight="1">
      <c r="A10" s="15" t="str">
        <f>CONCATENATE("5.- Z de ",$A$3)</f>
        <v>5.- Z de Denébola</v>
      </c>
      <c r="B10" s="10">
        <f>B5</f>
        <v>75.47666666666666</v>
      </c>
      <c r="C10" s="10">
        <f>C6</f>
        <v>52.30833333333333</v>
      </c>
      <c r="D10" s="10">
        <f>E7</f>
        <v>120.01056291827051</v>
      </c>
      <c r="E10" s="14">
        <f>F9*DEGREES(ACOS((COS(B10*PI()/180)-COS(C10*PI()/180)*COS(D10*PI()/180))/(SIN(C10*PI()/180)*SIN(D10*PI()/180))))</f>
        <v>35.68295507889809</v>
      </c>
      <c r="H10" s="15" t="str">
        <f>CONCATENATE("5.- Z de ",$A$2)</f>
        <v>5.- Z de Mimosa</v>
      </c>
      <c r="I10" s="10">
        <f>I5</f>
        <v>149.73833333333334</v>
      </c>
      <c r="J10" s="10">
        <f>J6</f>
        <v>41.38166666666667</v>
      </c>
      <c r="K10" s="10">
        <f>L7</f>
        <v>120.01056291827051</v>
      </c>
      <c r="L10" s="14">
        <f>M9*DEGREES(ACOS((COS(I10*PI()/180)-COS(J10*PI()/180)*COS(K10*PI()/180))/(SIN(J10*PI()/180)*SIN(K10*PI()/180))))</f>
        <v>148.56960964747142</v>
      </c>
    </row>
    <row r="11" spans="1:13" s="4" customFormat="1" ht="13.5" customHeight="1">
      <c r="A11" s="9"/>
      <c r="B11" s="9"/>
      <c r="C11" s="9"/>
      <c r="D11" s="9"/>
      <c r="F11" s="10"/>
      <c r="G11" s="11"/>
      <c r="H11" s="9"/>
      <c r="L11" s="13"/>
      <c r="M11" s="11"/>
    </row>
    <row r="12" spans="1:13" ht="13.5" customHeight="1">
      <c r="A12" s="8" t="s">
        <v>21</v>
      </c>
      <c r="B12" s="10">
        <f>90-$C$3</f>
        <v>75.47666666666666</v>
      </c>
      <c r="C12" s="10">
        <f>90-$C$2</f>
        <v>149.73833333333334</v>
      </c>
      <c r="D12" s="10">
        <f>$D$3-$D$2</f>
        <v>14.683333333333309</v>
      </c>
      <c r="E12" s="10">
        <f>DEGREES(ACOS(COS(B12*PI()/180)*COS(C12*PI()/180)+(SIN(B12*PI()/180)*SIN(C12*PI()/180)*(COS(D12*PI()/180)))))</f>
        <v>75.20791786067988</v>
      </c>
      <c r="F12" s="1">
        <f>DEGREES(ACOS((COS(C12*PI()/180)-COS(B12*PI()/180)*COS(E12*PI()/180))/(SIN(B12*PI()/180)*SIN(E12*PI()/180))))</f>
        <v>172.4079966258099</v>
      </c>
      <c r="H12" s="8" t="s">
        <v>21</v>
      </c>
      <c r="I12" s="10">
        <f>90-$C$2</f>
        <v>149.73833333333334</v>
      </c>
      <c r="J12" s="10">
        <f>90-$C$3</f>
        <v>75.47666666666666</v>
      </c>
      <c r="K12" s="10">
        <f>$D$2-$D$3</f>
        <v>-14.683333333333309</v>
      </c>
      <c r="L12" s="10">
        <f>DEGREES(ACOS(COS(I12*PI()/180)*COS(J12*PI()/180)+(SIN(I12*PI()/180)*SIN(J12*PI()/180)*(COS(K12*PI()/180)))))</f>
        <v>75.20791786067988</v>
      </c>
      <c r="M12" s="1">
        <f>DEGREES(ACOS((COS(J12*PI()/180)-COS(I12*PI()/180)*COS(L12*PI()/180))/(SIN(I12*PI()/180)*SIN(L12*PI()/180))))</f>
        <v>14.701764605361708</v>
      </c>
    </row>
    <row r="13" spans="1:13" ht="13.5" customHeight="1">
      <c r="A13" s="8" t="s">
        <v>22</v>
      </c>
      <c r="B13" s="10">
        <f>90-$B$2</f>
        <v>41.38166666666667</v>
      </c>
      <c r="C13" s="10">
        <f>90-$B$3</f>
        <v>52.30833333333333</v>
      </c>
      <c r="D13" s="10">
        <f>E12</f>
        <v>75.20791786067988</v>
      </c>
      <c r="E13" s="10">
        <f>DEGREES(ACOS((COS(B13*PI()/180)-COS(C13*PI()/180)*COS(D13*PI()/180))/(SIN(C13*PI()/180)*SIN(D13*PI()/180))))</f>
        <v>39.043151298406265</v>
      </c>
      <c r="F13" s="5">
        <f>(E13+F12*E16*F16*B16)</f>
        <v>-133.36484532740363</v>
      </c>
      <c r="H13" s="8" t="s">
        <v>22</v>
      </c>
      <c r="I13" s="10">
        <f>90-$B$3</f>
        <v>52.30833333333333</v>
      </c>
      <c r="J13" s="10">
        <f>90-$B$2</f>
        <v>41.38166666666667</v>
      </c>
      <c r="K13" s="10">
        <f>L12</f>
        <v>75.20791786067988</v>
      </c>
      <c r="L13" s="10">
        <f>DEGREES(ACOS((COS(I13*PI()/180)-COS(J13*PI()/180)*COS(K13*PI()/180))/(SIN(J13*PI()/180)*SIN(K13*PI()/180))))</f>
        <v>48.93858751681014</v>
      </c>
      <c r="M13" s="5">
        <f>(L13+M12*L16*M16*I16)</f>
        <v>34.23682291144843</v>
      </c>
    </row>
    <row r="14" spans="1:13" ht="13.5" customHeight="1">
      <c r="A14" s="8" t="s">
        <v>26</v>
      </c>
      <c r="B14" s="10">
        <f>90-$B$3</f>
        <v>52.30833333333333</v>
      </c>
      <c r="C14" s="10">
        <f>90-$C$3</f>
        <v>75.47666666666666</v>
      </c>
      <c r="D14" s="10">
        <f>F13</f>
        <v>-133.36484532740363</v>
      </c>
      <c r="E14" s="10">
        <f>DEGREES(ACOS(COS(B14*PI()/180)*COS(C14*PI()/180)+(SIN(B14*PI()/180)*SIN(C14*PI()/180)*(COS(D14*PI()/180)))))</f>
        <v>111.87971712406984</v>
      </c>
      <c r="F14" s="3">
        <f>90-E14</f>
        <v>-21.879717124069842</v>
      </c>
      <c r="G14" s="22">
        <f>IF(AND(ROUND(F14-M14,6)=0,ROUND(F15-M15,6)=0),1,0)</f>
        <v>0</v>
      </c>
      <c r="H14" s="8" t="s">
        <v>26</v>
      </c>
      <c r="I14" s="10">
        <f>90-$B$2</f>
        <v>41.38166666666667</v>
      </c>
      <c r="J14" s="10">
        <f>90-$C$2</f>
        <v>149.73833333333334</v>
      </c>
      <c r="K14" s="10">
        <f>M13</f>
        <v>34.23682291144843</v>
      </c>
      <c r="L14" s="10">
        <f>DEGREES(ACOS(COS(I14*PI()/180)*COS(J14*PI()/180)+(SIN(I14*PI()/180)*SIN(J14*PI()/180)*(COS(K14*PI()/180)))))</f>
        <v>111.87971712406983</v>
      </c>
      <c r="M14" s="3">
        <f>90-L14</f>
        <v>-21.879717124069828</v>
      </c>
    </row>
    <row r="15" spans="1:13" ht="13.5" customHeight="1">
      <c r="A15" s="15" t="str">
        <f>CONCATENATE("4.- P de ",$A$3)</f>
        <v>4.- P de Denébola</v>
      </c>
      <c r="B15" s="10">
        <f>90-$B$3</f>
        <v>52.30833333333333</v>
      </c>
      <c r="C15" s="10">
        <f>E14</f>
        <v>111.87971712406984</v>
      </c>
      <c r="D15" s="10">
        <f>90-$C$3</f>
        <v>75.47666666666666</v>
      </c>
      <c r="E15" s="11">
        <f>F16*DEGREES(ACOS((COS(B15*PI()/180)-COS(C15*PI()/180)*COS(D15*PI()/180))/(SIN(C15*PI()/180)*SIN(D15*PI()/180))))</f>
        <v>38.31147421120155</v>
      </c>
      <c r="F15" s="3">
        <f>IF(ABS(MOD($D$3+$E$2+E15,360))&gt;180,360-MOD($D$3+$E$2+E15,360),-MOD($D$3+$E$2+E15,360))</f>
        <v>-116.73647421120148</v>
      </c>
      <c r="G15" s="22"/>
      <c r="H15" s="15" t="str">
        <f>CONCATENATE("4.- P de ",$A$2)</f>
        <v>4.- P de Mimosa</v>
      </c>
      <c r="I15" s="10">
        <f>90-$B$2</f>
        <v>41.38166666666667</v>
      </c>
      <c r="J15" s="10">
        <f>L14</f>
        <v>111.87971712406983</v>
      </c>
      <c r="K15" s="10">
        <f>90-$C$2</f>
        <v>149.73833333333334</v>
      </c>
      <c r="L15" s="11">
        <f>M16*DEGREES(ACOS((COS(I15*PI()/180)-COS(J15*PI()/180)*COS(K15*PI()/180))/(SIN(J15*PI()/180)*SIN(K15*PI()/180))))</f>
        <v>23.628140877868212</v>
      </c>
      <c r="M15" s="3">
        <f>IF(ABS(MOD($D$2+$E$2+L15,360))&gt;180,360-MOD($D$2+$E$2+L15,360),-MOD($D$2+$E$2+L15,360))</f>
        <v>-87.36980754453486</v>
      </c>
    </row>
    <row r="16" spans="1:13" s="4" customFormat="1" ht="13.5" customHeight="1">
      <c r="A16" s="18" t="s">
        <v>48</v>
      </c>
      <c r="B16" s="7">
        <v>-1</v>
      </c>
      <c r="C16" s="21" t="s">
        <v>45</v>
      </c>
      <c r="D16" s="21"/>
      <c r="E16" s="7">
        <v>1</v>
      </c>
      <c r="F16" s="7">
        <v>1</v>
      </c>
      <c r="G16" s="11"/>
      <c r="H16" s="18" t="s">
        <v>48</v>
      </c>
      <c r="I16" s="19">
        <f>B16</f>
        <v>-1</v>
      </c>
      <c r="J16" s="21" t="s">
        <v>45</v>
      </c>
      <c r="K16" s="21"/>
      <c r="L16" s="19">
        <f>F16</f>
        <v>1</v>
      </c>
      <c r="M16" s="19">
        <f>E16</f>
        <v>1</v>
      </c>
    </row>
    <row r="17" spans="1:12" ht="13.5" customHeight="1">
      <c r="A17" s="15" t="str">
        <f>CONCATENATE("5.- Z de ",$A$3)</f>
        <v>5.- Z de Denébola</v>
      </c>
      <c r="B17" s="10">
        <f>B12</f>
        <v>75.47666666666666</v>
      </c>
      <c r="C17" s="10">
        <f>C13</f>
        <v>52.30833333333333</v>
      </c>
      <c r="D17" s="10">
        <f>E14</f>
        <v>111.87971712406984</v>
      </c>
      <c r="E17" s="14">
        <f>F16*DEGREES(ACOS((COS(B17*PI()/180)-COS(C17*PI()/180)*COS(D17*PI()/180))/(SIN(C17*PI()/180)*SIN(D17*PI()/180))))</f>
        <v>49.322804885074575</v>
      </c>
      <c r="F17" s="10">
        <f>IF(G14=1,B16,0)</f>
        <v>0</v>
      </c>
      <c r="H17" s="15" t="str">
        <f>CONCATENATE("5.- Z de ",$A$2)</f>
        <v>5.- Z de Mimosa</v>
      </c>
      <c r="I17" s="10">
        <f>I12</f>
        <v>149.73833333333334</v>
      </c>
      <c r="J17" s="10">
        <f>J13</f>
        <v>41.38166666666667</v>
      </c>
      <c r="K17" s="10">
        <f>L14</f>
        <v>111.87971712406983</v>
      </c>
      <c r="L17" s="14">
        <f>M16*DEGREES(ACOS((COS(I17*PI()/180)-COS(J17*PI()/180)*COS(K17*PI()/180))/(SIN(J17*PI()/180)*SIN(K17*PI()/180))))</f>
        <v>162.209459453648</v>
      </c>
    </row>
    <row r="18" spans="1:13" s="4" customFormat="1" ht="13.5" customHeight="1">
      <c r="A18" s="9"/>
      <c r="B18" s="20"/>
      <c r="C18" s="20"/>
      <c r="D18" s="20"/>
      <c r="E18" s="20"/>
      <c r="F18" s="20"/>
      <c r="G18" s="20"/>
      <c r="H18" s="20"/>
      <c r="I18" s="20"/>
      <c r="J18" s="20"/>
      <c r="K18" s="20"/>
      <c r="L18" s="20"/>
      <c r="M18" s="20"/>
    </row>
    <row r="19" spans="1:13" ht="13.5" customHeight="1">
      <c r="A19" s="8" t="s">
        <v>21</v>
      </c>
      <c r="B19" s="10">
        <f>90-$C$3</f>
        <v>75.47666666666666</v>
      </c>
      <c r="C19" s="10">
        <f>90-$C$2</f>
        <v>149.73833333333334</v>
      </c>
      <c r="D19" s="10">
        <f>$D$3-$D$2</f>
        <v>14.683333333333309</v>
      </c>
      <c r="E19" s="10">
        <f>DEGREES(ACOS(COS(B19*PI()/180)*COS(C19*PI()/180)+(SIN(B19*PI()/180)*SIN(C19*PI()/180)*(COS(D19*PI()/180)))))</f>
        <v>75.20791786067988</v>
      </c>
      <c r="F19" s="1">
        <f>DEGREES(ACOS((COS(C19*PI()/180)-COS(B19*PI()/180)*COS(E19*PI()/180))/(SIN(B19*PI()/180)*SIN(E19*PI()/180))))</f>
        <v>172.4079966258099</v>
      </c>
      <c r="H19" s="8" t="s">
        <v>21</v>
      </c>
      <c r="I19" s="10">
        <f>90-$C$2</f>
        <v>149.73833333333334</v>
      </c>
      <c r="J19" s="10">
        <f>90-$C$3</f>
        <v>75.47666666666666</v>
      </c>
      <c r="K19" s="10">
        <f>$D$2-$D$3</f>
        <v>-14.683333333333309</v>
      </c>
      <c r="L19" s="10">
        <f>DEGREES(ACOS(COS(I19*PI()/180)*COS(J19*PI()/180)+(SIN(I19*PI()/180)*SIN(J19*PI()/180)*(COS(K19*PI()/180)))))</f>
        <v>75.20791786067988</v>
      </c>
      <c r="M19" s="1">
        <f>DEGREES(ACOS((COS(J19*PI()/180)-COS(I19*PI()/180)*COS(L19*PI()/180))/(SIN(I19*PI()/180)*SIN(L19*PI()/180))))</f>
        <v>14.701764605361708</v>
      </c>
    </row>
    <row r="20" spans="1:13" ht="13.5" customHeight="1">
      <c r="A20" s="8" t="s">
        <v>22</v>
      </c>
      <c r="B20" s="10">
        <f>90-$B$2</f>
        <v>41.38166666666667</v>
      </c>
      <c r="C20" s="10">
        <f>90-$B$3</f>
        <v>52.30833333333333</v>
      </c>
      <c r="D20" s="10">
        <f>E19</f>
        <v>75.20791786067988</v>
      </c>
      <c r="E20" s="10">
        <f>DEGREES(ACOS((COS(B20*PI()/180)-COS(C20*PI()/180)*COS(D20*PI()/180))/(SIN(C20*PI()/180)*SIN(D20*PI()/180))))</f>
        <v>39.043151298406265</v>
      </c>
      <c r="F20" s="5">
        <f>(E20+F19*E23*F23*B23)</f>
        <v>-133.36484532740363</v>
      </c>
      <c r="H20" s="8" t="s">
        <v>22</v>
      </c>
      <c r="I20" s="10">
        <f>90-$B$3</f>
        <v>52.30833333333333</v>
      </c>
      <c r="J20" s="10">
        <f>90-$B$2</f>
        <v>41.38166666666667</v>
      </c>
      <c r="K20" s="10">
        <f>L19</f>
        <v>75.20791786067988</v>
      </c>
      <c r="L20" s="10">
        <f>DEGREES(ACOS((COS(I20*PI()/180)-COS(J20*PI()/180)*COS(K20*PI()/180))/(SIN(J20*PI()/180)*SIN(K20*PI()/180))))</f>
        <v>48.93858751681014</v>
      </c>
      <c r="M20" s="5">
        <f>(L20+M19*L23*M23*I23)</f>
        <v>34.23682291144843</v>
      </c>
    </row>
    <row r="21" spans="1:13" ht="13.5" customHeight="1">
      <c r="A21" s="8" t="s">
        <v>26</v>
      </c>
      <c r="B21" s="10">
        <f>90-$B$3</f>
        <v>52.30833333333333</v>
      </c>
      <c r="C21" s="10">
        <f>90-$C$3</f>
        <v>75.47666666666666</v>
      </c>
      <c r="D21" s="10">
        <f>F20</f>
        <v>-133.36484532740363</v>
      </c>
      <c r="E21" s="10">
        <f>DEGREES(ACOS(COS(B21*PI()/180)*COS(C21*PI()/180)+(SIN(B21*PI()/180)*SIN(C21*PI()/180)*(COS(D21*PI()/180)))))</f>
        <v>111.87971712406984</v>
      </c>
      <c r="F21" s="3">
        <f>90-E21</f>
        <v>-21.879717124069842</v>
      </c>
      <c r="G21" s="22">
        <f>IF(AND(ROUND(F21-M21,6)=0,ROUND(F22-M22,6)=0),1,0)</f>
        <v>0</v>
      </c>
      <c r="H21" s="8" t="s">
        <v>26</v>
      </c>
      <c r="I21" s="10">
        <f>90-$B$2</f>
        <v>41.38166666666667</v>
      </c>
      <c r="J21" s="10">
        <f>90-$C$2</f>
        <v>149.73833333333334</v>
      </c>
      <c r="K21" s="10">
        <f>M20</f>
        <v>34.23682291144843</v>
      </c>
      <c r="L21" s="10">
        <f>DEGREES(ACOS(COS(I21*PI()/180)*COS(J21*PI()/180)+(SIN(I21*PI()/180)*SIN(J21*PI()/180)*(COS(K21*PI()/180)))))</f>
        <v>111.87971712406983</v>
      </c>
      <c r="M21" s="3">
        <f>90-L21</f>
        <v>-21.879717124069828</v>
      </c>
    </row>
    <row r="22" spans="1:13" ht="13.5" customHeight="1">
      <c r="A22" s="17" t="str">
        <f>CONCATENATE("4.- P de ",$A$3)</f>
        <v>4.- P de Denébola</v>
      </c>
      <c r="B22" s="10">
        <f>90-$B$3</f>
        <v>52.30833333333333</v>
      </c>
      <c r="C22" s="10">
        <f>E21</f>
        <v>111.87971712406984</v>
      </c>
      <c r="D22" s="10">
        <f>90-$C$3</f>
        <v>75.47666666666666</v>
      </c>
      <c r="E22" s="11">
        <f>F23*DEGREES(ACOS((COS(B22*PI()/180)-COS(C22*PI()/180)*COS(D22*PI()/180))/(SIN(C22*PI()/180)*SIN(D22*PI()/180))))</f>
        <v>38.31147421120155</v>
      </c>
      <c r="F22" s="3">
        <f>IF(ABS(MOD($D$3+$E$2+E22,360))&gt;180,360-MOD($D$3+$E$2+E22,360),-MOD($D$3+$E$2+E22,360))</f>
        <v>-116.73647421120148</v>
      </c>
      <c r="G22" s="22"/>
      <c r="H22" s="15" t="str">
        <f>CONCATENATE("4.- P de ",$A$2)</f>
        <v>4.- P de Mimosa</v>
      </c>
      <c r="I22" s="10">
        <f>90-$B$2</f>
        <v>41.38166666666667</v>
      </c>
      <c r="J22" s="10">
        <f>L21</f>
        <v>111.87971712406983</v>
      </c>
      <c r="K22" s="10">
        <f>90-$C$2</f>
        <v>149.73833333333334</v>
      </c>
      <c r="L22" s="11">
        <f>M23*DEGREES(ACOS((COS(I22*PI()/180)-COS(J22*PI()/180)*COS(K22*PI()/180))/(SIN(J22*PI()/180)*SIN(K22*PI()/180))))</f>
        <v>-23.628140877868212</v>
      </c>
      <c r="M22" s="3">
        <f>IF(ABS(MOD($D$2+$E$2+L22,360))&gt;180,360-MOD($D$2+$E$2+L22,360),-MOD($D$2+$E$2+L22,360))</f>
        <v>-40.11352578879848</v>
      </c>
    </row>
    <row r="23" spans="1:13" s="4" customFormat="1" ht="13.5" customHeight="1">
      <c r="A23" s="18" t="s">
        <v>48</v>
      </c>
      <c r="B23" s="7">
        <v>1</v>
      </c>
      <c r="C23" s="21" t="s">
        <v>45</v>
      </c>
      <c r="D23" s="21"/>
      <c r="E23" s="7">
        <v>-1</v>
      </c>
      <c r="F23" s="7">
        <v>1</v>
      </c>
      <c r="G23" s="11"/>
      <c r="H23" s="18" t="s">
        <v>48</v>
      </c>
      <c r="I23" s="19">
        <f>B23</f>
        <v>1</v>
      </c>
      <c r="J23" s="21" t="s">
        <v>45</v>
      </c>
      <c r="K23" s="21"/>
      <c r="L23" s="19">
        <f>F23</f>
        <v>1</v>
      </c>
      <c r="M23" s="19">
        <f>E23</f>
        <v>-1</v>
      </c>
    </row>
    <row r="24" spans="1:12" ht="13.5" customHeight="1">
      <c r="A24" s="17" t="str">
        <f>CONCATENATE("5.- Z de ",$A$3)</f>
        <v>5.- Z de Denébola</v>
      </c>
      <c r="B24" s="10">
        <f>B19</f>
        <v>75.47666666666666</v>
      </c>
      <c r="C24" s="10">
        <f>C20</f>
        <v>52.30833333333333</v>
      </c>
      <c r="D24" s="10">
        <f>E21</f>
        <v>111.87971712406984</v>
      </c>
      <c r="E24" s="14">
        <f>F23*DEGREES(ACOS((COS(B24*PI()/180)-COS(C24*PI()/180)*COS(D24*PI()/180))/(SIN(C24*PI()/180)*SIN(D24*PI()/180))))</f>
        <v>49.322804885074575</v>
      </c>
      <c r="F24" s="10">
        <f>IF(G21=1,B23,0)</f>
        <v>0</v>
      </c>
      <c r="H24" s="15" t="str">
        <f>CONCATENATE("5.- Z de ",$A$2)</f>
        <v>5.- Z de Mimosa</v>
      </c>
      <c r="I24" s="10">
        <f>I19</f>
        <v>149.73833333333334</v>
      </c>
      <c r="J24" s="10">
        <f>J20</f>
        <v>41.38166666666667</v>
      </c>
      <c r="K24" s="10">
        <f>L21</f>
        <v>111.87971712406983</v>
      </c>
      <c r="L24" s="14">
        <f>M23*DEGREES(ACOS((COS(I24*PI()/180)-COS(J24*PI()/180)*COS(K24*PI()/180))/(SIN(J24*PI()/180)*SIN(K24*PI()/180))))</f>
        <v>-162.209459453648</v>
      </c>
    </row>
    <row r="25" spans="1:13" s="4" customFormat="1" ht="13.5" customHeight="1">
      <c r="A25" s="9"/>
      <c r="B25" s="9"/>
      <c r="C25" s="9"/>
      <c r="D25" s="9"/>
      <c r="F25" s="11"/>
      <c r="G25" s="11"/>
      <c r="H25" s="9"/>
      <c r="L25" s="13"/>
      <c r="M25" s="11"/>
    </row>
    <row r="26" spans="1:13" ht="13.5" customHeight="1">
      <c r="A26" s="8" t="s">
        <v>21</v>
      </c>
      <c r="B26" s="10">
        <f>90-$C$3</f>
        <v>75.47666666666666</v>
      </c>
      <c r="C26" s="10">
        <f>90-$C$2</f>
        <v>149.73833333333334</v>
      </c>
      <c r="D26" s="10">
        <f>$D$3-$D$2</f>
        <v>14.683333333333309</v>
      </c>
      <c r="E26" s="10">
        <f>DEGREES(ACOS(COS(B26*PI()/180)*COS(C26*PI()/180)+(SIN(B26*PI()/180)*SIN(C26*PI()/180)*(COS(D26*PI()/180)))))</f>
        <v>75.20791786067988</v>
      </c>
      <c r="F26" s="1">
        <f>DEGREES(ACOS((COS(C26*PI()/180)-COS(B26*PI()/180)*COS(E26*PI()/180))/(SIN(B26*PI()/180)*SIN(E26*PI()/180))))</f>
        <v>172.4079966258099</v>
      </c>
      <c r="H26" s="8" t="s">
        <v>21</v>
      </c>
      <c r="I26" s="10">
        <f>90-$C$2</f>
        <v>149.73833333333334</v>
      </c>
      <c r="J26" s="10">
        <f>90-$C$3</f>
        <v>75.47666666666666</v>
      </c>
      <c r="K26" s="10">
        <f>$D$2-$D$3</f>
        <v>-14.683333333333309</v>
      </c>
      <c r="L26" s="10">
        <f>DEGREES(ACOS(COS(I26*PI()/180)*COS(J26*PI()/180)+(SIN(I26*PI()/180)*SIN(J26*PI()/180)*(COS(K26*PI()/180)))))</f>
        <v>75.20791786067988</v>
      </c>
      <c r="M26" s="1">
        <f>DEGREES(ACOS((COS(J26*PI()/180)-COS(I26*PI()/180)*COS(L26*PI()/180))/(SIN(I26*PI()/180)*SIN(L26*PI()/180))))</f>
        <v>14.701764605361708</v>
      </c>
    </row>
    <row r="27" spans="1:13" ht="13.5" customHeight="1">
      <c r="A27" s="8" t="s">
        <v>22</v>
      </c>
      <c r="B27" s="10">
        <f>90-$B$2</f>
        <v>41.38166666666667</v>
      </c>
      <c r="C27" s="10">
        <f>90-$B$3</f>
        <v>52.30833333333333</v>
      </c>
      <c r="D27" s="10">
        <f>E26</f>
        <v>75.20791786067988</v>
      </c>
      <c r="E27" s="10">
        <f>DEGREES(ACOS((COS(B27*PI()/180)-COS(C27*PI()/180)*COS(D27*PI()/180))/(SIN(C27*PI()/180)*SIN(D27*PI()/180))))</f>
        <v>39.043151298406265</v>
      </c>
      <c r="F27" s="5">
        <f>(E27+F26*E30*F30*B30)</f>
        <v>211.45114792421614</v>
      </c>
      <c r="H27" s="8" t="s">
        <v>22</v>
      </c>
      <c r="I27" s="10">
        <f>90-$B$3</f>
        <v>52.30833333333333</v>
      </c>
      <c r="J27" s="10">
        <f>90-$B$2</f>
        <v>41.38166666666667</v>
      </c>
      <c r="K27" s="10">
        <f>L26</f>
        <v>75.20791786067988</v>
      </c>
      <c r="L27" s="10">
        <f>DEGREES(ACOS((COS(I27*PI()/180)-COS(J27*PI()/180)*COS(K27*PI()/180))/(SIN(J27*PI()/180)*SIN(K27*PI()/180))))</f>
        <v>48.93858751681014</v>
      </c>
      <c r="M27" s="5">
        <f>(L27+M26*L30*M30*I30)</f>
        <v>63.64035212217185</v>
      </c>
    </row>
    <row r="28" spans="1:13" ht="13.5" customHeight="1">
      <c r="A28" s="8" t="s">
        <v>26</v>
      </c>
      <c r="B28" s="10">
        <f>90-$B$3</f>
        <v>52.30833333333333</v>
      </c>
      <c r="C28" s="10">
        <f>90-$C$3</f>
        <v>75.47666666666666</v>
      </c>
      <c r="D28" s="10">
        <f>F27</f>
        <v>211.45114792421614</v>
      </c>
      <c r="E28" s="10">
        <f>DEGREES(ACOS(COS(B28*PI()/180)*COS(C28*PI()/180)+(SIN(B28*PI()/180)*SIN(C28*PI()/180)*(COS(D28*PI()/180)))))</f>
        <v>120.01056291827051</v>
      </c>
      <c r="F28" s="3">
        <f>90-E28</f>
        <v>-30.01056291827051</v>
      </c>
      <c r="G28" s="22">
        <f>IF(AND(ROUND(F28-M28,6)=0,ROUND(F29-M29,6)=0),1,0)</f>
        <v>0</v>
      </c>
      <c r="H28" s="8" t="s">
        <v>26</v>
      </c>
      <c r="I28" s="10">
        <f>90-$B$2</f>
        <v>41.38166666666667</v>
      </c>
      <c r="J28" s="10">
        <f>90-$C$2</f>
        <v>149.73833333333334</v>
      </c>
      <c r="K28" s="10">
        <f>M27</f>
        <v>63.64035212217185</v>
      </c>
      <c r="L28" s="10">
        <f>DEGREES(ACOS(COS(I28*PI()/180)*COS(J28*PI()/180)+(SIN(I28*PI()/180)*SIN(J28*PI()/180)*(COS(K28*PI()/180)))))</f>
        <v>120.01056291827051</v>
      </c>
      <c r="M28" s="3">
        <f>90-L28</f>
        <v>-30.01056291827051</v>
      </c>
    </row>
    <row r="29" spans="1:13" ht="13.5" customHeight="1">
      <c r="A29" s="17" t="str">
        <f>CONCATENATE("4.- P de ",$A$3)</f>
        <v>4.- P de Denébola</v>
      </c>
      <c r="B29" s="10">
        <f>90-$B$3</f>
        <v>52.30833333333333</v>
      </c>
      <c r="C29" s="10">
        <f>E28</f>
        <v>120.01056291827051</v>
      </c>
      <c r="D29" s="10">
        <f>90-$C$3</f>
        <v>75.47666666666666</v>
      </c>
      <c r="E29" s="11">
        <f>F30*DEGREES(ACOS((COS(B29*PI()/180)-COS(C29*PI()/180)*COS(D29*PI()/180))/(SIN(C29*PI()/180)*SIN(D29*PI()/180))))</f>
        <v>28.47715845654508</v>
      </c>
      <c r="F29" s="3">
        <f>IF(ABS(MOD($D$3+$E$2+E29,360))&gt;180,360-MOD($D$3+$E$2+E29,360),-MOD($D$3+$E$2+E29,360))</f>
        <v>-106.90215845654501</v>
      </c>
      <c r="G29" s="22"/>
      <c r="H29" s="15" t="str">
        <f>CONCATENATE("4.- P de ",$A$2)</f>
        <v>4.- P de Mimosa</v>
      </c>
      <c r="I29" s="10">
        <f>90-$B$2</f>
        <v>41.38166666666667</v>
      </c>
      <c r="J29" s="10">
        <f>L28</f>
        <v>120.01056291827051</v>
      </c>
      <c r="K29" s="10">
        <f>90-$C$2</f>
        <v>149.73833333333334</v>
      </c>
      <c r="L29" s="11">
        <f>M30*DEGREES(ACOS((COS(I29*PI()/180)-COS(J29*PI()/180)*COS(K29*PI()/180))/(SIN(J29*PI()/180)*SIN(K29*PI()/180))))</f>
        <v>-43.16049178987836</v>
      </c>
      <c r="M29" s="3">
        <f>IF(ABS(MOD($D$2+$E$2+L29,360))&gt;180,360-MOD($D$2+$E$2+L29,360),-MOD($D$2+$E$2+L29,360))</f>
        <v>-20.58117487678834</v>
      </c>
    </row>
    <row r="30" spans="1:13" s="4" customFormat="1" ht="13.5" customHeight="1">
      <c r="A30" s="18" t="s">
        <v>48</v>
      </c>
      <c r="B30" s="7">
        <v>-1</v>
      </c>
      <c r="C30" s="21" t="s">
        <v>45</v>
      </c>
      <c r="D30" s="21"/>
      <c r="E30" s="7">
        <v>-1</v>
      </c>
      <c r="F30" s="7">
        <v>1</v>
      </c>
      <c r="G30" s="11"/>
      <c r="H30" s="18" t="s">
        <v>48</v>
      </c>
      <c r="I30" s="19">
        <f>B30</f>
        <v>-1</v>
      </c>
      <c r="J30" s="21" t="s">
        <v>45</v>
      </c>
      <c r="K30" s="21"/>
      <c r="L30" s="19">
        <f>F30</f>
        <v>1</v>
      </c>
      <c r="M30" s="19">
        <f>E30</f>
        <v>-1</v>
      </c>
    </row>
    <row r="31" spans="1:12" ht="13.5" customHeight="1">
      <c r="A31" s="17" t="str">
        <f>CONCATENATE("5.- Z de ",$A$3)</f>
        <v>5.- Z de Denébola</v>
      </c>
      <c r="B31" s="10">
        <f>B26</f>
        <v>75.47666666666666</v>
      </c>
      <c r="C31" s="10">
        <f>C27</f>
        <v>52.30833333333333</v>
      </c>
      <c r="D31" s="10">
        <f>E28</f>
        <v>120.01056291827051</v>
      </c>
      <c r="E31" s="14">
        <f>F30*DEGREES(ACOS((COS(B31*PI()/180)-COS(C31*PI()/180)*COS(D31*PI()/180))/(SIN(C31*PI()/180)*SIN(D31*PI()/180))))</f>
        <v>35.68295507889809</v>
      </c>
      <c r="F31" s="10">
        <f>IF(G28=1,B30,0)</f>
        <v>0</v>
      </c>
      <c r="H31" s="15" t="str">
        <f>CONCATENATE("5.- Z de ",$A$2)</f>
        <v>5.- Z de Mimosa</v>
      </c>
      <c r="I31" s="10">
        <f>I26</f>
        <v>149.73833333333334</v>
      </c>
      <c r="J31" s="10">
        <f>J27</f>
        <v>41.38166666666667</v>
      </c>
      <c r="K31" s="10">
        <f>L28</f>
        <v>120.01056291827051</v>
      </c>
      <c r="L31" s="14">
        <f>M30*DEGREES(ACOS((COS(I31*PI()/180)-COS(J31*PI()/180)*COS(K31*PI()/180))/(SIN(J31*PI()/180)*SIN(K31*PI()/180))))</f>
        <v>-148.56960964747142</v>
      </c>
    </row>
    <row r="32" spans="1:13" s="4" customFormat="1" ht="13.5" customHeight="1">
      <c r="A32" s="9"/>
      <c r="B32" s="9"/>
      <c r="C32" s="9"/>
      <c r="D32" s="9"/>
      <c r="F32" s="11"/>
      <c r="G32" s="11"/>
      <c r="H32" s="9"/>
      <c r="L32" s="13"/>
      <c r="M32" s="11"/>
    </row>
    <row r="33" spans="1:13" ht="13.5" customHeight="1">
      <c r="A33" s="8" t="s">
        <v>21</v>
      </c>
      <c r="B33" s="10">
        <f>90-$C$3</f>
        <v>75.47666666666666</v>
      </c>
      <c r="C33" s="10">
        <f>90-$C$2</f>
        <v>149.73833333333334</v>
      </c>
      <c r="D33" s="10">
        <f>$D$3-$D$2</f>
        <v>14.683333333333309</v>
      </c>
      <c r="E33" s="10">
        <f>DEGREES(ACOS(COS(B33*PI()/180)*COS(C33*PI()/180)+(SIN(B33*PI()/180)*SIN(C33*PI()/180)*(COS(D33*PI()/180)))))</f>
        <v>75.20791786067988</v>
      </c>
      <c r="F33" s="1">
        <f>DEGREES(ACOS((COS(C33*PI()/180)-COS(B33*PI()/180)*COS(E33*PI()/180))/(SIN(B33*PI()/180)*SIN(E33*PI()/180))))</f>
        <v>172.4079966258099</v>
      </c>
      <c r="H33" s="8" t="s">
        <v>21</v>
      </c>
      <c r="I33" s="10">
        <f>90-$C$2</f>
        <v>149.73833333333334</v>
      </c>
      <c r="J33" s="10">
        <f>90-$C$3</f>
        <v>75.47666666666666</v>
      </c>
      <c r="K33" s="10">
        <f>$D$2-$D$3</f>
        <v>-14.683333333333309</v>
      </c>
      <c r="L33" s="10">
        <f>DEGREES(ACOS(COS(I33*PI()/180)*COS(J33*PI()/180)+(SIN(I33*PI()/180)*SIN(J33*PI()/180)*(COS(K33*PI()/180)))))</f>
        <v>75.20791786067988</v>
      </c>
      <c r="M33" s="1">
        <f>DEGREES(ACOS((COS(J33*PI()/180)-COS(I33*PI()/180)*COS(L33*PI()/180))/(SIN(I33*PI()/180)*SIN(L33*PI()/180))))</f>
        <v>14.701764605361708</v>
      </c>
    </row>
    <row r="34" spans="1:13" ht="13.5" customHeight="1">
      <c r="A34" s="8" t="s">
        <v>22</v>
      </c>
      <c r="B34" s="10">
        <f>90-$B$2</f>
        <v>41.38166666666667</v>
      </c>
      <c r="C34" s="10">
        <f>90-$B$3</f>
        <v>52.30833333333333</v>
      </c>
      <c r="D34" s="10">
        <f>E33</f>
        <v>75.20791786067988</v>
      </c>
      <c r="E34" s="10">
        <f>DEGREES(ACOS((COS(B34*PI()/180)-COS(C34*PI()/180)*COS(D34*PI()/180))/(SIN(C34*PI()/180)*SIN(D34*PI()/180))))</f>
        <v>39.043151298406265</v>
      </c>
      <c r="F34" s="5">
        <f>(E34+F33*E37*F37*B37)</f>
        <v>-133.36484532740363</v>
      </c>
      <c r="H34" s="8" t="s">
        <v>22</v>
      </c>
      <c r="I34" s="10">
        <f>90-$B$3</f>
        <v>52.30833333333333</v>
      </c>
      <c r="J34" s="10">
        <f>90-$B$2</f>
        <v>41.38166666666667</v>
      </c>
      <c r="K34" s="10">
        <f>L33</f>
        <v>75.20791786067988</v>
      </c>
      <c r="L34" s="10">
        <f>DEGREES(ACOS((COS(I34*PI()/180)-COS(J34*PI()/180)*COS(K34*PI()/180))/(SIN(J34*PI()/180)*SIN(K34*PI()/180))))</f>
        <v>48.93858751681014</v>
      </c>
      <c r="M34" s="5">
        <f>(L34+M33*L37*M37*I37)</f>
        <v>34.23682291144843</v>
      </c>
    </row>
    <row r="35" spans="1:13" ht="13.5" customHeight="1">
      <c r="A35" s="8" t="s">
        <v>26</v>
      </c>
      <c r="B35" s="10">
        <f>90-$B$3</f>
        <v>52.30833333333333</v>
      </c>
      <c r="C35" s="10">
        <f>90-$C$3</f>
        <v>75.47666666666666</v>
      </c>
      <c r="D35" s="10">
        <f>F34</f>
        <v>-133.36484532740363</v>
      </c>
      <c r="E35" s="10">
        <f>DEGREES(ACOS(COS(B35*PI()/180)*COS(C35*PI()/180)+(SIN(B35*PI()/180)*SIN(C35*PI()/180)*(COS(D35*PI()/180)))))</f>
        <v>111.87971712406984</v>
      </c>
      <c r="F35" s="3">
        <f>90-E35</f>
        <v>-21.879717124069842</v>
      </c>
      <c r="G35" s="22">
        <f>IF(AND(ROUND(F35-M35,6)=0,ROUND(F36-M36,6)=0),1,0)</f>
        <v>0</v>
      </c>
      <c r="H35" s="8" t="s">
        <v>26</v>
      </c>
      <c r="I35" s="10">
        <f>90-$B$2</f>
        <v>41.38166666666667</v>
      </c>
      <c r="J35" s="10">
        <f>90-$C$2</f>
        <v>149.73833333333334</v>
      </c>
      <c r="K35" s="10">
        <f>M34</f>
        <v>34.23682291144843</v>
      </c>
      <c r="L35" s="10">
        <f>DEGREES(ACOS(COS(I35*PI()/180)*COS(J35*PI()/180)+(SIN(I35*PI()/180)*SIN(J35*PI()/180)*(COS(K35*PI()/180)))))</f>
        <v>111.87971712406983</v>
      </c>
      <c r="M35" s="3">
        <f>90-L35</f>
        <v>-21.879717124069828</v>
      </c>
    </row>
    <row r="36" spans="1:13" ht="13.5" customHeight="1">
      <c r="A36" s="17" t="str">
        <f>CONCATENATE("4.- P de ",$A$3)</f>
        <v>4.- P de Denébola</v>
      </c>
      <c r="B36" s="10">
        <f>90-$B$3</f>
        <v>52.30833333333333</v>
      </c>
      <c r="C36" s="10">
        <f>E35</f>
        <v>111.87971712406984</v>
      </c>
      <c r="D36" s="10">
        <f>90-$C$3</f>
        <v>75.47666666666666</v>
      </c>
      <c r="E36" s="11">
        <f>F37*DEGREES(ACOS((COS(B36*PI()/180)-COS(C36*PI()/180)*COS(D36*PI()/180))/(SIN(C36*PI()/180)*SIN(D36*PI()/180))))</f>
        <v>-38.31147421120155</v>
      </c>
      <c r="F36" s="3">
        <f>IF(ABS(MOD($D$3+$E$2+E36,360))&gt;180,360-MOD($D$3+$E$2+E36,360),-MOD($D$3+$E$2+E36,360))</f>
        <v>-40.11352578879843</v>
      </c>
      <c r="G36" s="22"/>
      <c r="H36" s="15" t="str">
        <f>CONCATENATE("4.- P de ",$A$2)</f>
        <v>4.- P de Mimosa</v>
      </c>
      <c r="I36" s="10">
        <f>90-$B$2</f>
        <v>41.38166666666667</v>
      </c>
      <c r="J36" s="10">
        <f>L35</f>
        <v>111.87971712406983</v>
      </c>
      <c r="K36" s="10">
        <f>90-$C$2</f>
        <v>149.73833333333334</v>
      </c>
      <c r="L36" s="11">
        <f>M37*DEGREES(ACOS((COS(I36*PI()/180)-COS(J36*PI()/180)*COS(K36*PI()/180))/(SIN(J36*PI()/180)*SIN(K36*PI()/180))))</f>
        <v>23.628140877868212</v>
      </c>
      <c r="M36" s="3">
        <f>IF(ABS(MOD($D$2+$E$2+L36,360))&gt;180,360-MOD($D$2+$E$2+L36,360),-MOD($D$2+$E$2+L36,360))</f>
        <v>-87.36980754453486</v>
      </c>
    </row>
    <row r="37" spans="1:13" s="4" customFormat="1" ht="13.5" customHeight="1">
      <c r="A37" s="18" t="s">
        <v>48</v>
      </c>
      <c r="B37" s="7">
        <v>1</v>
      </c>
      <c r="C37" s="21" t="s">
        <v>45</v>
      </c>
      <c r="D37" s="21"/>
      <c r="E37" s="7">
        <v>1</v>
      </c>
      <c r="F37" s="7">
        <v>-1</v>
      </c>
      <c r="G37" s="11"/>
      <c r="H37" s="18" t="s">
        <v>48</v>
      </c>
      <c r="I37" s="19">
        <f>B37</f>
        <v>1</v>
      </c>
      <c r="J37" s="21" t="s">
        <v>45</v>
      </c>
      <c r="K37" s="21"/>
      <c r="L37" s="19">
        <f>F37</f>
        <v>-1</v>
      </c>
      <c r="M37" s="19">
        <f>E37</f>
        <v>1</v>
      </c>
    </row>
    <row r="38" spans="1:12" ht="13.5" customHeight="1">
      <c r="A38" s="17" t="str">
        <f>CONCATENATE("5.- Z de ",$A$3)</f>
        <v>5.- Z de Denébola</v>
      </c>
      <c r="B38" s="10">
        <f>B33</f>
        <v>75.47666666666666</v>
      </c>
      <c r="C38" s="10">
        <f>C34</f>
        <v>52.30833333333333</v>
      </c>
      <c r="D38" s="10">
        <f>E35</f>
        <v>111.87971712406984</v>
      </c>
      <c r="E38" s="14">
        <f>F37*DEGREES(ACOS((COS(B38*PI()/180)-COS(C38*PI()/180)*COS(D38*PI()/180))/(SIN(C38*PI()/180)*SIN(D38*PI()/180))))</f>
        <v>-49.322804885074575</v>
      </c>
      <c r="F38" s="10">
        <f>IF(G35=1,B37,0)</f>
        <v>0</v>
      </c>
      <c r="H38" s="15" t="str">
        <f>CONCATENATE("5.- Z de ",$A$2)</f>
        <v>5.- Z de Mimosa</v>
      </c>
      <c r="I38" s="10">
        <f>I33</f>
        <v>149.73833333333334</v>
      </c>
      <c r="J38" s="10">
        <f>J34</f>
        <v>41.38166666666667</v>
      </c>
      <c r="K38" s="10">
        <f>L35</f>
        <v>111.87971712406983</v>
      </c>
      <c r="L38" s="14">
        <f>M37*DEGREES(ACOS((COS(I38*PI()/180)-COS(J38*PI()/180)*COS(K38*PI()/180))/(SIN(J38*PI()/180)*SIN(K38*PI()/180))))</f>
        <v>162.209459453648</v>
      </c>
    </row>
    <row r="39" spans="1:13" s="4" customFormat="1" ht="13.5" customHeight="1">
      <c r="A39" s="9"/>
      <c r="B39" s="9"/>
      <c r="C39" s="9"/>
      <c r="D39" s="9"/>
      <c r="F39" s="11"/>
      <c r="G39" s="11"/>
      <c r="H39" s="9"/>
      <c r="L39" s="13"/>
      <c r="M39" s="11"/>
    </row>
    <row r="40" spans="1:13" ht="13.5" customHeight="1">
      <c r="A40" s="8" t="s">
        <v>21</v>
      </c>
      <c r="B40" s="10">
        <f>90-$C$3</f>
        <v>75.47666666666666</v>
      </c>
      <c r="C40" s="10">
        <f>90-$C$2</f>
        <v>149.73833333333334</v>
      </c>
      <c r="D40" s="10">
        <f>$D$3-$D$2</f>
        <v>14.683333333333309</v>
      </c>
      <c r="E40" s="10">
        <f>DEGREES(ACOS(COS(B40*PI()/180)*COS(C40*PI()/180)+(SIN(B40*PI()/180)*SIN(C40*PI()/180)*(COS(D40*PI()/180)))))</f>
        <v>75.20791786067988</v>
      </c>
      <c r="F40" s="1">
        <f>DEGREES(ACOS((COS(C40*PI()/180)-COS(B40*PI()/180)*COS(E40*PI()/180))/(SIN(B40*PI()/180)*SIN(E40*PI()/180))))</f>
        <v>172.4079966258099</v>
      </c>
      <c r="H40" s="8" t="s">
        <v>21</v>
      </c>
      <c r="I40" s="10">
        <f>90-$C$2</f>
        <v>149.73833333333334</v>
      </c>
      <c r="J40" s="10">
        <f>90-$C$3</f>
        <v>75.47666666666666</v>
      </c>
      <c r="K40" s="10">
        <f>$D$2-$D$3</f>
        <v>-14.683333333333309</v>
      </c>
      <c r="L40" s="10">
        <f>DEGREES(ACOS(COS(I40*PI()/180)*COS(J40*PI()/180)+(SIN(I40*PI()/180)*SIN(J40*PI()/180)*(COS(K40*PI()/180)))))</f>
        <v>75.20791786067988</v>
      </c>
      <c r="M40" s="1">
        <f>DEGREES(ACOS((COS(J40*PI()/180)-COS(I40*PI()/180)*COS(L40*PI()/180))/(SIN(I40*PI()/180)*SIN(L40*PI()/180))))</f>
        <v>14.701764605361708</v>
      </c>
    </row>
    <row r="41" spans="1:13" ht="13.5" customHeight="1">
      <c r="A41" s="8" t="s">
        <v>22</v>
      </c>
      <c r="B41" s="10">
        <f>90-$B$2</f>
        <v>41.38166666666667</v>
      </c>
      <c r="C41" s="10">
        <f>90-$B$3</f>
        <v>52.30833333333333</v>
      </c>
      <c r="D41" s="10">
        <f>E40</f>
        <v>75.20791786067988</v>
      </c>
      <c r="E41" s="10">
        <f>DEGREES(ACOS((COS(B41*PI()/180)-COS(C41*PI()/180)*COS(D41*PI()/180))/(SIN(C41*PI()/180)*SIN(D41*PI()/180))))</f>
        <v>39.043151298406265</v>
      </c>
      <c r="F41" s="5">
        <f>(E41+F40*E44*F44*B44)</f>
        <v>211.45114792421614</v>
      </c>
      <c r="H41" s="8" t="s">
        <v>22</v>
      </c>
      <c r="I41" s="10">
        <f>90-$B$3</f>
        <v>52.30833333333333</v>
      </c>
      <c r="J41" s="10">
        <f>90-$B$2</f>
        <v>41.38166666666667</v>
      </c>
      <c r="K41" s="10">
        <f>L40</f>
        <v>75.20791786067988</v>
      </c>
      <c r="L41" s="10">
        <f>DEGREES(ACOS((COS(I41*PI()/180)-COS(J41*PI()/180)*COS(K41*PI()/180))/(SIN(J41*PI()/180)*SIN(K41*PI()/180))))</f>
        <v>48.93858751681014</v>
      </c>
      <c r="M41" s="5">
        <f>(L41+M40*L44*M44*I44)</f>
        <v>63.64035212217185</v>
      </c>
    </row>
    <row r="42" spans="1:13" ht="13.5" customHeight="1">
      <c r="A42" s="8" t="s">
        <v>26</v>
      </c>
      <c r="B42" s="10">
        <f>90-$B$3</f>
        <v>52.30833333333333</v>
      </c>
      <c r="C42" s="10">
        <f>90-$C$3</f>
        <v>75.47666666666666</v>
      </c>
      <c r="D42" s="10">
        <f>F41</f>
        <v>211.45114792421614</v>
      </c>
      <c r="E42" s="10">
        <f>DEGREES(ACOS(COS(B42*PI()/180)*COS(C42*PI()/180)+(SIN(B42*PI()/180)*SIN(C42*PI()/180)*(COS(D42*PI()/180)))))</f>
        <v>120.01056291827051</v>
      </c>
      <c r="F42" s="3">
        <f>90-E42</f>
        <v>-30.01056291827051</v>
      </c>
      <c r="G42" s="22">
        <f>IF(AND(ROUND(F42-M42,6)=0,ROUND(F43-M43,6)=0),1,0)</f>
        <v>0</v>
      </c>
      <c r="H42" s="8" t="s">
        <v>26</v>
      </c>
      <c r="I42" s="10">
        <f>90-$B$2</f>
        <v>41.38166666666667</v>
      </c>
      <c r="J42" s="10">
        <f>90-$C$2</f>
        <v>149.73833333333334</v>
      </c>
      <c r="K42" s="10">
        <f>M41</f>
        <v>63.64035212217185</v>
      </c>
      <c r="L42" s="10">
        <f>DEGREES(ACOS(COS(I42*PI()/180)*COS(J42*PI()/180)+(SIN(I42*PI()/180)*SIN(J42*PI()/180)*(COS(K42*PI()/180)))))</f>
        <v>120.01056291827051</v>
      </c>
      <c r="M42" s="3">
        <f>90-L42</f>
        <v>-30.01056291827051</v>
      </c>
    </row>
    <row r="43" spans="1:13" ht="13.5" customHeight="1">
      <c r="A43" s="17" t="str">
        <f>CONCATENATE("4.- P de ",$A$3)</f>
        <v>4.- P de Denébola</v>
      </c>
      <c r="B43" s="10">
        <f>90-$B$3</f>
        <v>52.30833333333333</v>
      </c>
      <c r="C43" s="10">
        <f>E42</f>
        <v>120.01056291827051</v>
      </c>
      <c r="D43" s="10">
        <f>90-$C$3</f>
        <v>75.47666666666666</v>
      </c>
      <c r="E43" s="11">
        <f>F44*DEGREES(ACOS((COS(B43*PI()/180)-COS(C43*PI()/180)*COS(D43*PI()/180))/(SIN(C43*PI()/180)*SIN(D43*PI()/180))))</f>
        <v>-28.47715845654508</v>
      </c>
      <c r="F43" s="3">
        <f>IF(ABS(MOD($D$3+$E$2+E43,360))&gt;180,360-MOD($D$3+$E$2+E43,360),-MOD($D$3+$E$2+E43,360))</f>
        <v>-49.9478415434549</v>
      </c>
      <c r="G43" s="22"/>
      <c r="H43" s="15" t="str">
        <f>CONCATENATE("4.- P de ",$A$2)</f>
        <v>4.- P de Mimosa</v>
      </c>
      <c r="I43" s="10">
        <f>90-$B$2</f>
        <v>41.38166666666667</v>
      </c>
      <c r="J43" s="10">
        <f>L42</f>
        <v>120.01056291827051</v>
      </c>
      <c r="K43" s="10">
        <f>90-$C$2</f>
        <v>149.73833333333334</v>
      </c>
      <c r="L43" s="11">
        <f>M44*DEGREES(ACOS((COS(I43*PI()/180)-COS(J43*PI()/180)*COS(K43*PI()/180))/(SIN(J43*PI()/180)*SIN(K43*PI()/180))))</f>
        <v>43.16049178987836</v>
      </c>
      <c r="M43" s="3">
        <f>IF(ABS(MOD($D$2+$E$2+L43,360))&gt;180,360-MOD($D$2+$E$2+L43,360),-MOD($D$2+$E$2+L43,360))</f>
        <v>-106.90215845654501</v>
      </c>
    </row>
    <row r="44" spans="1:13" s="4" customFormat="1" ht="13.5" customHeight="1">
      <c r="A44" s="18" t="s">
        <v>48</v>
      </c>
      <c r="B44" s="7">
        <v>-1</v>
      </c>
      <c r="C44" s="21" t="s">
        <v>45</v>
      </c>
      <c r="D44" s="21"/>
      <c r="E44" s="7">
        <v>1</v>
      </c>
      <c r="F44" s="7">
        <v>-1</v>
      </c>
      <c r="G44" s="11"/>
      <c r="H44" s="18" t="s">
        <v>48</v>
      </c>
      <c r="I44" s="19">
        <f>B44</f>
        <v>-1</v>
      </c>
      <c r="J44" s="21" t="s">
        <v>45</v>
      </c>
      <c r="K44" s="21"/>
      <c r="L44" s="19">
        <f>F44</f>
        <v>-1</v>
      </c>
      <c r="M44" s="19">
        <f>E44</f>
        <v>1</v>
      </c>
    </row>
    <row r="45" spans="1:12" ht="13.5" customHeight="1">
      <c r="A45" s="17" t="str">
        <f>CONCATENATE("5.- Z de ",$A$3)</f>
        <v>5.- Z de Denébola</v>
      </c>
      <c r="B45" s="10">
        <f>B40</f>
        <v>75.47666666666666</v>
      </c>
      <c r="C45" s="10">
        <f>C41</f>
        <v>52.30833333333333</v>
      </c>
      <c r="D45" s="10">
        <f>E42</f>
        <v>120.01056291827051</v>
      </c>
      <c r="E45" s="14">
        <f>F44*DEGREES(ACOS((COS(B45*PI()/180)-COS(C45*PI()/180)*COS(D45*PI()/180))/(SIN(C45*PI()/180)*SIN(D45*PI()/180))))</f>
        <v>-35.68295507889809</v>
      </c>
      <c r="F45" s="10">
        <f>IF(G42=1,B44,0)</f>
        <v>0</v>
      </c>
      <c r="H45" s="15" t="str">
        <f>CONCATENATE("5.- Z de ",$A$2)</f>
        <v>5.- Z de Mimosa</v>
      </c>
      <c r="I45" s="10">
        <f>I40</f>
        <v>149.73833333333334</v>
      </c>
      <c r="J45" s="10">
        <f>J41</f>
        <v>41.38166666666667</v>
      </c>
      <c r="K45" s="10">
        <f>L42</f>
        <v>120.01056291827051</v>
      </c>
      <c r="L45" s="14">
        <f>M44*DEGREES(ACOS((COS(I45*PI()/180)-COS(J45*PI()/180)*COS(K45*PI()/180))/(SIN(J45*PI()/180)*SIN(K45*PI()/180))))</f>
        <v>148.56960964747142</v>
      </c>
    </row>
    <row r="46" spans="1:13" s="4" customFormat="1" ht="13.5" customHeight="1">
      <c r="A46" s="9"/>
      <c r="B46" s="9"/>
      <c r="C46" s="9"/>
      <c r="D46" s="9"/>
      <c r="F46" s="11"/>
      <c r="G46" s="11"/>
      <c r="H46" s="9"/>
      <c r="L46" s="13"/>
      <c r="M46" s="11"/>
    </row>
    <row r="47" spans="1:13" ht="13.5" customHeight="1">
      <c r="A47" s="8" t="s">
        <v>21</v>
      </c>
      <c r="B47" s="10">
        <f>90-$C$3</f>
        <v>75.47666666666666</v>
      </c>
      <c r="C47" s="10">
        <f>90-$C$2</f>
        <v>149.73833333333334</v>
      </c>
      <c r="D47" s="10">
        <f>$D$3-$D$2</f>
        <v>14.683333333333309</v>
      </c>
      <c r="E47" s="10">
        <f>DEGREES(ACOS(COS(B47*PI()/180)*COS(C47*PI()/180)+(SIN(B47*PI()/180)*SIN(C47*PI()/180)*(COS(D47*PI()/180)))))</f>
        <v>75.20791786067988</v>
      </c>
      <c r="F47" s="1">
        <f>DEGREES(ACOS((COS(C47*PI()/180)-COS(B47*PI()/180)*COS(E47*PI()/180))/(SIN(B47*PI()/180)*SIN(E47*PI()/180))))</f>
        <v>172.4079966258099</v>
      </c>
      <c r="H47" s="8" t="s">
        <v>21</v>
      </c>
      <c r="I47" s="10">
        <f>90-$C$2</f>
        <v>149.73833333333334</v>
      </c>
      <c r="J47" s="10">
        <f>90-$C$3</f>
        <v>75.47666666666666</v>
      </c>
      <c r="K47" s="10">
        <f>$D$2-$D$3</f>
        <v>-14.683333333333309</v>
      </c>
      <c r="L47" s="10">
        <f>DEGREES(ACOS(COS(I47*PI()/180)*COS(J47*PI()/180)+(SIN(I47*PI()/180)*SIN(J47*PI()/180)*(COS(K47*PI()/180)))))</f>
        <v>75.20791786067988</v>
      </c>
      <c r="M47" s="1">
        <f>DEGREES(ACOS((COS(J47*PI()/180)-COS(I47*PI()/180)*COS(L47*PI()/180))/(SIN(I47*PI()/180)*SIN(L47*PI()/180))))</f>
        <v>14.701764605361708</v>
      </c>
    </row>
    <row r="48" spans="1:13" ht="13.5" customHeight="1">
      <c r="A48" s="8" t="s">
        <v>22</v>
      </c>
      <c r="B48" s="10">
        <f>90-$B$2</f>
        <v>41.38166666666667</v>
      </c>
      <c r="C48" s="10">
        <f>90-$B$3</f>
        <v>52.30833333333333</v>
      </c>
      <c r="D48" s="10">
        <f>E47</f>
        <v>75.20791786067988</v>
      </c>
      <c r="E48" s="10">
        <f>DEGREES(ACOS((COS(B48*PI()/180)-COS(C48*PI()/180)*COS(D48*PI()/180))/(SIN(C48*PI()/180)*SIN(D48*PI()/180))))</f>
        <v>39.043151298406265</v>
      </c>
      <c r="F48" s="5">
        <f>(E48+F47*E51*F51*B51)</f>
        <v>211.45114792421614</v>
      </c>
      <c r="H48" s="8" t="s">
        <v>22</v>
      </c>
      <c r="I48" s="10">
        <f>90-$B$3</f>
        <v>52.30833333333333</v>
      </c>
      <c r="J48" s="10">
        <f>90-$B$2</f>
        <v>41.38166666666667</v>
      </c>
      <c r="K48" s="10">
        <f>L47</f>
        <v>75.20791786067988</v>
      </c>
      <c r="L48" s="10">
        <f>DEGREES(ACOS((COS(I48*PI()/180)-COS(J48*PI()/180)*COS(K48*PI()/180))/(SIN(J48*PI()/180)*SIN(K48*PI()/180))))</f>
        <v>48.93858751681014</v>
      </c>
      <c r="M48" s="5">
        <f>(L48+M47*L51*M51*I51)</f>
        <v>63.64035212217185</v>
      </c>
    </row>
    <row r="49" spans="1:13" ht="13.5" customHeight="1">
      <c r="A49" s="8" t="s">
        <v>26</v>
      </c>
      <c r="B49" s="10">
        <f>90-$B$3</f>
        <v>52.30833333333333</v>
      </c>
      <c r="C49" s="10">
        <f>90-$C$3</f>
        <v>75.47666666666666</v>
      </c>
      <c r="D49" s="10">
        <f>F48</f>
        <v>211.45114792421614</v>
      </c>
      <c r="E49" s="10">
        <f>DEGREES(ACOS(COS(B49*PI()/180)*COS(C49*PI()/180)+(SIN(B49*PI()/180)*SIN(C49*PI()/180)*(COS(D49*PI()/180)))))</f>
        <v>120.01056291827051</v>
      </c>
      <c r="F49" s="3">
        <f>90-E49</f>
        <v>-30.01056291827051</v>
      </c>
      <c r="G49" s="22">
        <f>IF(AND(ROUND(F49-M49,6)=0,ROUND(F50-M50,6)=0),1,0)</f>
        <v>0</v>
      </c>
      <c r="H49" s="8" t="s">
        <v>26</v>
      </c>
      <c r="I49" s="10">
        <f>90-$B$2</f>
        <v>41.38166666666667</v>
      </c>
      <c r="J49" s="10">
        <f>90-$C$2</f>
        <v>149.73833333333334</v>
      </c>
      <c r="K49" s="10">
        <f>M48</f>
        <v>63.64035212217185</v>
      </c>
      <c r="L49" s="10">
        <f>DEGREES(ACOS(COS(I49*PI()/180)*COS(J49*PI()/180)+(SIN(I49*PI()/180)*SIN(J49*PI()/180)*(COS(K49*PI()/180)))))</f>
        <v>120.01056291827051</v>
      </c>
      <c r="M49" s="3">
        <f>90-L49</f>
        <v>-30.01056291827051</v>
      </c>
    </row>
    <row r="50" spans="1:13" ht="13.5" customHeight="1">
      <c r="A50" s="17" t="str">
        <f>CONCATENATE("4.- P de ",$A$3)</f>
        <v>4.- P de Denébola</v>
      </c>
      <c r="B50" s="10">
        <f>90-$B$3</f>
        <v>52.30833333333333</v>
      </c>
      <c r="C50" s="10">
        <f>E49</f>
        <v>120.01056291827051</v>
      </c>
      <c r="D50" s="10">
        <f>90-$C$3</f>
        <v>75.47666666666666</v>
      </c>
      <c r="E50" s="11">
        <f>F51*DEGREES(ACOS((COS(B50*PI()/180)-COS(C50*PI()/180)*COS(D50*PI()/180))/(SIN(C50*PI()/180)*SIN(D50*PI()/180))))</f>
        <v>-28.47715845654508</v>
      </c>
      <c r="F50" s="3">
        <f>IF(ABS(MOD($D$3+$E$2+E50,360))&gt;180,360-MOD($D$3+$E$2+E50,360),-MOD($D$3+$E$2+E50,360))</f>
        <v>-49.9478415434549</v>
      </c>
      <c r="G50" s="22"/>
      <c r="H50" s="15" t="str">
        <f>CONCATENATE("4.- P de ",$A$2)</f>
        <v>4.- P de Mimosa</v>
      </c>
      <c r="I50" s="10">
        <f>90-$B$2</f>
        <v>41.38166666666667</v>
      </c>
      <c r="J50" s="10">
        <f>L49</f>
        <v>120.01056291827051</v>
      </c>
      <c r="K50" s="10">
        <f>90-$C$2</f>
        <v>149.73833333333334</v>
      </c>
      <c r="L50" s="11">
        <f>M51*DEGREES(ACOS((COS(I50*PI()/180)-COS(J50*PI()/180)*COS(K50*PI()/180))/(SIN(J50*PI()/180)*SIN(K50*PI()/180))))</f>
        <v>-43.16049178987836</v>
      </c>
      <c r="M50" s="3">
        <f>IF(ABS(MOD($D$2+$E$2+L50,360))&gt;180,360-MOD($D$2+$E$2+L50,360),-MOD($D$2+$E$2+L50,360))</f>
        <v>-20.58117487678834</v>
      </c>
    </row>
    <row r="51" spans="1:13" s="4" customFormat="1" ht="13.5" customHeight="1">
      <c r="A51" s="18" t="s">
        <v>48</v>
      </c>
      <c r="B51" s="7">
        <v>1</v>
      </c>
      <c r="C51" s="21" t="s">
        <v>45</v>
      </c>
      <c r="D51" s="21"/>
      <c r="E51" s="7">
        <v>-1</v>
      </c>
      <c r="F51" s="7">
        <v>-1</v>
      </c>
      <c r="G51" s="11"/>
      <c r="H51" s="18" t="s">
        <v>48</v>
      </c>
      <c r="I51" s="19">
        <f>B51</f>
        <v>1</v>
      </c>
      <c r="J51" s="21" t="s">
        <v>45</v>
      </c>
      <c r="K51" s="21"/>
      <c r="L51" s="19">
        <f>F51</f>
        <v>-1</v>
      </c>
      <c r="M51" s="19">
        <f>E51</f>
        <v>-1</v>
      </c>
    </row>
    <row r="52" spans="1:12" ht="13.5" customHeight="1">
      <c r="A52" s="17" t="str">
        <f>CONCATENATE("5.- Z de ",$A$3)</f>
        <v>5.- Z de Denébola</v>
      </c>
      <c r="B52" s="10">
        <f>B47</f>
        <v>75.47666666666666</v>
      </c>
      <c r="C52" s="10">
        <f>C48</f>
        <v>52.30833333333333</v>
      </c>
      <c r="D52" s="10">
        <f>E49</f>
        <v>120.01056291827051</v>
      </c>
      <c r="E52" s="14">
        <f>F51*DEGREES(ACOS((COS(B52*PI()/180)-COS(C52*PI()/180)*COS(D52*PI()/180))/(SIN(C52*PI()/180)*SIN(D52*PI()/180))))</f>
        <v>-35.68295507889809</v>
      </c>
      <c r="F52" s="10">
        <f>IF(G49=1,B51,0)</f>
        <v>0</v>
      </c>
      <c r="H52" s="15" t="str">
        <f>CONCATENATE("5.- Z de ",$A$2)</f>
        <v>5.- Z de Mimosa</v>
      </c>
      <c r="I52" s="10">
        <f>I47</f>
        <v>149.73833333333334</v>
      </c>
      <c r="J52" s="10">
        <f>J48</f>
        <v>41.38166666666667</v>
      </c>
      <c r="K52" s="10">
        <f>L49</f>
        <v>120.01056291827051</v>
      </c>
      <c r="L52" s="14">
        <f>M51*DEGREES(ACOS((COS(I52*PI()/180)-COS(J52*PI()/180)*COS(K52*PI()/180))/(SIN(J52*PI()/180)*SIN(K52*PI()/180))))</f>
        <v>-148.56960964747142</v>
      </c>
    </row>
    <row r="53" spans="1:13" s="4" customFormat="1" ht="13.5" customHeight="1">
      <c r="A53" s="9"/>
      <c r="B53" s="9"/>
      <c r="C53" s="9"/>
      <c r="D53" s="9"/>
      <c r="F53" s="11"/>
      <c r="G53" s="11"/>
      <c r="H53" s="9"/>
      <c r="L53" s="13"/>
      <c r="M53" s="11"/>
    </row>
    <row r="54" spans="1:13" ht="13.5" customHeight="1">
      <c r="A54" s="8" t="s">
        <v>21</v>
      </c>
      <c r="B54" s="10">
        <f>90-$C$3</f>
        <v>75.47666666666666</v>
      </c>
      <c r="C54" s="10">
        <f>90-$C$2</f>
        <v>149.73833333333334</v>
      </c>
      <c r="D54" s="10">
        <f>$D$3-$D$2</f>
        <v>14.683333333333309</v>
      </c>
      <c r="E54" s="10">
        <f>DEGREES(ACOS(COS(B54*PI()/180)*COS(C54*PI()/180)+(SIN(B54*PI()/180)*SIN(C54*PI()/180)*(COS(D54*PI()/180)))))</f>
        <v>75.20791786067988</v>
      </c>
      <c r="F54" s="1">
        <f>DEGREES(ACOS((COS(C54*PI()/180)-COS(B54*PI()/180)*COS(E54*PI()/180))/(SIN(B54*PI()/180)*SIN(E54*PI()/180))))</f>
        <v>172.4079966258099</v>
      </c>
      <c r="H54" s="8" t="s">
        <v>21</v>
      </c>
      <c r="I54" s="10">
        <f>90-$C$2</f>
        <v>149.73833333333334</v>
      </c>
      <c r="J54" s="10">
        <f>90-$C$3</f>
        <v>75.47666666666666</v>
      </c>
      <c r="K54" s="10">
        <f>$D$2-$D$3</f>
        <v>-14.683333333333309</v>
      </c>
      <c r="L54" s="10">
        <f>DEGREES(ACOS(COS(I54*PI()/180)*COS(J54*PI()/180)+(SIN(I54*PI()/180)*SIN(J54*PI()/180)*(COS(K54*PI()/180)))))</f>
        <v>75.20791786067988</v>
      </c>
      <c r="M54" s="1">
        <f>DEGREES(ACOS((COS(J54*PI()/180)-COS(I54*PI()/180)*COS(L54*PI()/180))/(SIN(I54*PI()/180)*SIN(L54*PI()/180))))</f>
        <v>14.701764605361708</v>
      </c>
    </row>
    <row r="55" spans="1:13" ht="13.5" customHeight="1">
      <c r="A55" s="8" t="s">
        <v>22</v>
      </c>
      <c r="B55" s="10">
        <f>90-$B$2</f>
        <v>41.38166666666667</v>
      </c>
      <c r="C55" s="10">
        <f>90-$B$3</f>
        <v>52.30833333333333</v>
      </c>
      <c r="D55" s="10">
        <f>E54</f>
        <v>75.20791786067988</v>
      </c>
      <c r="E55" s="10">
        <f>DEGREES(ACOS((COS(B55*PI()/180)-COS(C55*PI()/180)*COS(D55*PI()/180))/(SIN(C55*PI()/180)*SIN(D55*PI()/180))))</f>
        <v>39.043151298406265</v>
      </c>
      <c r="F55" s="5">
        <f>(E55+F54*E58*F58*B58)</f>
        <v>-133.36484532740363</v>
      </c>
      <c r="H55" s="8" t="s">
        <v>22</v>
      </c>
      <c r="I55" s="10">
        <f>90-$B$3</f>
        <v>52.30833333333333</v>
      </c>
      <c r="J55" s="10">
        <f>90-$B$2</f>
        <v>41.38166666666667</v>
      </c>
      <c r="K55" s="10">
        <f>L54</f>
        <v>75.20791786067988</v>
      </c>
      <c r="L55" s="10">
        <f>DEGREES(ACOS((COS(I55*PI()/180)-COS(J55*PI()/180)*COS(K55*PI()/180))/(SIN(J55*PI()/180)*SIN(K55*PI()/180))))</f>
        <v>48.93858751681014</v>
      </c>
      <c r="M55" s="5">
        <f>(L55+M54*L58*M58*I58)</f>
        <v>34.23682291144843</v>
      </c>
    </row>
    <row r="56" spans="1:13" ht="13.5" customHeight="1">
      <c r="A56" s="8" t="s">
        <v>26</v>
      </c>
      <c r="B56" s="10">
        <f>90-$B$3</f>
        <v>52.30833333333333</v>
      </c>
      <c r="C56" s="10">
        <f>90-$C$3</f>
        <v>75.47666666666666</v>
      </c>
      <c r="D56" s="10">
        <f>F55</f>
        <v>-133.36484532740363</v>
      </c>
      <c r="E56" s="10">
        <f>DEGREES(ACOS(COS(B56*PI()/180)*COS(C56*PI()/180)+(SIN(B56*PI()/180)*SIN(C56*PI()/180)*(COS(D56*PI()/180)))))</f>
        <v>111.87971712406984</v>
      </c>
      <c r="F56" s="3">
        <f>90-E56</f>
        <v>-21.879717124069842</v>
      </c>
      <c r="G56" s="22">
        <f>IF(AND(ROUND(F56-M56,6)=0,ROUND(F57-M57,6)=0),1,0)</f>
        <v>1</v>
      </c>
      <c r="H56" s="8" t="s">
        <v>26</v>
      </c>
      <c r="I56" s="10">
        <f>90-$B$2</f>
        <v>41.38166666666667</v>
      </c>
      <c r="J56" s="10">
        <f>90-$C$2</f>
        <v>149.73833333333334</v>
      </c>
      <c r="K56" s="10">
        <f>M55</f>
        <v>34.23682291144843</v>
      </c>
      <c r="L56" s="10">
        <f>DEGREES(ACOS(COS(I56*PI()/180)*COS(J56*PI()/180)+(SIN(I56*PI()/180)*SIN(J56*PI()/180)*(COS(K56*PI()/180)))))</f>
        <v>111.87971712406983</v>
      </c>
      <c r="M56" s="3">
        <f>90-L56</f>
        <v>-21.879717124069828</v>
      </c>
    </row>
    <row r="57" spans="1:13" ht="13.5" customHeight="1">
      <c r="A57" s="17" t="str">
        <f>CONCATENATE("4.- P de ",$A$3)</f>
        <v>4.- P de Denébola</v>
      </c>
      <c r="B57" s="10">
        <f>90-$B$3</f>
        <v>52.30833333333333</v>
      </c>
      <c r="C57" s="10">
        <f>E56</f>
        <v>111.87971712406984</v>
      </c>
      <c r="D57" s="10">
        <f>90-$C$3</f>
        <v>75.47666666666666</v>
      </c>
      <c r="E57" s="11">
        <f>F58*DEGREES(ACOS((COS(B57*PI()/180)-COS(C57*PI()/180)*COS(D57*PI()/180))/(SIN(C57*PI()/180)*SIN(D57*PI()/180))))</f>
        <v>-38.31147421120155</v>
      </c>
      <c r="F57" s="3">
        <f>IF(ABS(MOD($D$3+$E$2+E57,360))&gt;180,360-MOD($D$3+$E$2+E57,360),-MOD($D$3+$E$2+E57,360))</f>
        <v>-40.11352578879843</v>
      </c>
      <c r="G57" s="22"/>
      <c r="H57" s="15" t="str">
        <f>CONCATENATE("4.- P de ",$A$2)</f>
        <v>4.- P de Mimosa</v>
      </c>
      <c r="I57" s="10">
        <f>90-$B$2</f>
        <v>41.38166666666667</v>
      </c>
      <c r="J57" s="10">
        <f>L56</f>
        <v>111.87971712406983</v>
      </c>
      <c r="K57" s="10">
        <f>90-$C$2</f>
        <v>149.73833333333334</v>
      </c>
      <c r="L57" s="11">
        <f>M58*DEGREES(ACOS((COS(I57*PI()/180)-COS(J57*PI()/180)*COS(K57*PI()/180))/(SIN(J57*PI()/180)*SIN(K57*PI()/180))))</f>
        <v>-23.628140877868212</v>
      </c>
      <c r="M57" s="3">
        <f>IF(ABS(MOD($D$2+$E$2+L57,360))&gt;180,360-MOD($D$2+$E$2+L57,360),-MOD($D$2+$E$2+L57,360))</f>
        <v>-40.11352578879848</v>
      </c>
    </row>
    <row r="58" spans="1:13" s="4" customFormat="1" ht="13.5" customHeight="1">
      <c r="A58" s="18" t="s">
        <v>48</v>
      </c>
      <c r="B58" s="7">
        <v>-1</v>
      </c>
      <c r="C58" s="21" t="s">
        <v>45</v>
      </c>
      <c r="D58" s="21"/>
      <c r="E58" s="7">
        <v>-1</v>
      </c>
      <c r="F58" s="7">
        <v>-1</v>
      </c>
      <c r="G58" s="11"/>
      <c r="H58" s="18" t="s">
        <v>48</v>
      </c>
      <c r="I58" s="19">
        <f>B58</f>
        <v>-1</v>
      </c>
      <c r="J58" s="21" t="s">
        <v>45</v>
      </c>
      <c r="K58" s="21"/>
      <c r="L58" s="19">
        <f>F58</f>
        <v>-1</v>
      </c>
      <c r="M58" s="19">
        <f>E58</f>
        <v>-1</v>
      </c>
    </row>
    <row r="59" spans="1:12" ht="13.5" customHeight="1">
      <c r="A59" s="17" t="str">
        <f>CONCATENATE("5.- Z de ",$A$3)</f>
        <v>5.- Z de Denébola</v>
      </c>
      <c r="B59" s="10">
        <f>B54</f>
        <v>75.47666666666666</v>
      </c>
      <c r="C59" s="10">
        <f>C55</f>
        <v>52.30833333333333</v>
      </c>
      <c r="D59" s="10">
        <f>E56</f>
        <v>111.87971712406984</v>
      </c>
      <c r="E59" s="14">
        <f>F58*DEGREES(ACOS((COS(B59*PI()/180)-COS(C59*PI()/180)*COS(D59*PI()/180))/(SIN(C59*PI()/180)*SIN(D59*PI()/180))))</f>
        <v>-49.322804885074575</v>
      </c>
      <c r="H59" s="15" t="str">
        <f>CONCATENATE("5.- Z de ",$A$2)</f>
        <v>5.- Z de Mimosa</v>
      </c>
      <c r="I59" s="10">
        <f>I54</f>
        <v>149.73833333333334</v>
      </c>
      <c r="J59" s="10">
        <f>J55</f>
        <v>41.38166666666667</v>
      </c>
      <c r="K59" s="10">
        <f>L56</f>
        <v>111.87971712406983</v>
      </c>
      <c r="L59" s="14">
        <f>M58*DEGREES(ACOS((COS(I59*PI()/180)-COS(J59*PI()/180)*COS(K59*PI()/180))/(SIN(J59*PI()/180)*SIN(K59*PI()/180))))</f>
        <v>-162.209459453648</v>
      </c>
    </row>
    <row r="60" spans="1:13" s="4" customFormat="1" ht="13.5" customHeight="1">
      <c r="A60" s="9"/>
      <c r="B60" s="9"/>
      <c r="C60" s="9"/>
      <c r="D60" s="9"/>
      <c r="G60" s="11"/>
      <c r="H60" s="9"/>
      <c r="L60" s="13"/>
      <c r="M60" s="11"/>
    </row>
    <row r="61" ht="13.5" customHeight="1">
      <c r="F61" s="10"/>
    </row>
  </sheetData>
  <sheetProtection sheet="1" objects="1" scenarios="1"/>
  <mergeCells count="25">
    <mergeCell ref="C51:D51"/>
    <mergeCell ref="J51:K51"/>
    <mergeCell ref="E2:E3"/>
    <mergeCell ref="C37:D37"/>
    <mergeCell ref="J37:K37"/>
    <mergeCell ref="C44:D44"/>
    <mergeCell ref="J44:K44"/>
    <mergeCell ref="C23:D23"/>
    <mergeCell ref="J23:K23"/>
    <mergeCell ref="C30:D30"/>
    <mergeCell ref="J30:K30"/>
    <mergeCell ref="C9:D9"/>
    <mergeCell ref="J9:K9"/>
    <mergeCell ref="C16:D16"/>
    <mergeCell ref="J16:K16"/>
    <mergeCell ref="C58:D58"/>
    <mergeCell ref="J58:K58"/>
    <mergeCell ref="G7:G8"/>
    <mergeCell ref="G14:G15"/>
    <mergeCell ref="G21:G22"/>
    <mergeCell ref="G28:G29"/>
    <mergeCell ref="G35:G36"/>
    <mergeCell ref="G42:G43"/>
    <mergeCell ref="G49:G50"/>
    <mergeCell ref="G56:G57"/>
  </mergeCells>
  <conditionalFormatting sqref="G7:G8 G14:G15 G21:G22 G28:G29 G35:G36 G42:G43 G49:G50 G56:G57">
    <cfRule type="cellIs" priority="1" dxfId="6" operator="equal" stopIfTrue="1">
      <formula>1</formula>
    </cfRule>
    <cfRule type="cellIs" priority="2" dxfId="7" operator="equal" stopIfTrue="1">
      <formula>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Taberna del Puerto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MásBarco</dc:creator>
  <cp:keywords/>
  <dc:description/>
  <cp:lastModifiedBy>MasBarco</cp:lastModifiedBy>
  <dcterms:created xsi:type="dcterms:W3CDTF">2008-05-27T08:58:21Z</dcterms:created>
  <dcterms:modified xsi:type="dcterms:W3CDTF">2008-06-18T12:55:10Z</dcterms:modified>
  <cp:category/>
  <cp:version/>
  <cp:contentType/>
  <cp:contentStatus/>
</cp:coreProperties>
</file>