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2780" activeTab="0"/>
  </bookViews>
  <sheets>
    <sheet name="Calculos" sheetId="1" r:id="rId1"/>
  </sheets>
  <definedNames/>
  <calcPr fullCalcOnLoad="1"/>
</workbook>
</file>

<file path=xl/sharedStrings.xml><?xml version="1.0" encoding="utf-8"?>
<sst xmlns="http://schemas.openxmlformats.org/spreadsheetml/2006/main" count="138" uniqueCount="76">
  <si>
    <t>Alphecca</t>
  </si>
  <si>
    <t>Capella</t>
  </si>
  <si>
    <t>Denébola</t>
  </si>
  <si>
    <t>b1</t>
  </si>
  <si>
    <t>Antares</t>
  </si>
  <si>
    <t>hGy (º)</t>
  </si>
  <si>
    <t>a1</t>
  </si>
  <si>
    <t>a2</t>
  </si>
  <si>
    <t>b2</t>
  </si>
  <si>
    <t>A</t>
  </si>
  <si>
    <t>As (º)</t>
  </si>
  <si>
    <t>δ (º)</t>
  </si>
  <si>
    <t>P (º)</t>
  </si>
  <si>
    <t>ae (º)</t>
  </si>
  <si>
    <t>Z (º)</t>
  </si>
  <si>
    <t>av (º)</t>
  </si>
  <si>
    <t>altura</t>
  </si>
  <si>
    <t>datos astronómicos</t>
  </si>
  <si>
    <t>Ecuación de las rectas</t>
  </si>
  <si>
    <t>∆l</t>
  </si>
  <si>
    <t>∆L</t>
  </si>
  <si>
    <t>Correcciones</t>
  </si>
  <si>
    <t>D (Mn)</t>
  </si>
  <si>
    <t>Rb (º)</t>
  </si>
  <si>
    <t>Vb (Kn.)</t>
  </si>
  <si>
    <t>t (h)</t>
  </si>
  <si>
    <t>∆l (')</t>
  </si>
  <si>
    <t>∆L (')</t>
  </si>
  <si>
    <t>Aldebarán</t>
  </si>
  <si>
    <t>Hamal</t>
  </si>
  <si>
    <t>Situac. corregida So</t>
  </si>
  <si>
    <t>Mimosa</t>
  </si>
  <si>
    <t>∆a (')</t>
  </si>
  <si>
    <t>dd/mm/aa</t>
  </si>
  <si>
    <t>hh:mm:ss</t>
  </si>
  <si>
    <t>Paso 1</t>
  </si>
  <si>
    <t>Corrección de la Se1</t>
  </si>
  <si>
    <t>Paso 2</t>
  </si>
  <si>
    <t>Paso 3</t>
  </si>
  <si>
    <t>Paso 4</t>
  </si>
  <si>
    <t>Paso 5</t>
  </si>
  <si>
    <t>Corrección de la Se2</t>
  </si>
  <si>
    <t>correcciones</t>
  </si>
  <si>
    <t>recta 1</t>
  </si>
  <si>
    <t>recta altura 1</t>
  </si>
  <si>
    <t>lat. (º)</t>
  </si>
  <si>
    <t>Lon. (º)</t>
  </si>
  <si>
    <t>recta altura 2</t>
  </si>
  <si>
    <t>estima</t>
  </si>
  <si>
    <t>datos</t>
  </si>
  <si>
    <t>Cálculos de estima</t>
  </si>
  <si>
    <t>1ª recta de altura</t>
  </si>
  <si>
    <t>2ª recta de altura</t>
  </si>
  <si>
    <t>Sol</t>
  </si>
  <si>
    <t>Faro Goyo</t>
  </si>
  <si>
    <t>-</t>
  </si>
  <si>
    <t>Rb/Dm (º)</t>
  </si>
  <si>
    <t>fecha y hora TU</t>
  </si>
  <si>
    <t>datos 2ª observ.</t>
  </si>
  <si>
    <t>Datos de entrada</t>
  </si>
  <si>
    <t>Situación de estima</t>
  </si>
  <si>
    <t>ARCHIVOS DE DATOS</t>
  </si>
  <si>
    <t>Situac. de estima Se1</t>
  </si>
  <si>
    <t>Situac. de estima Se2</t>
  </si>
  <si>
    <t>Situac. corregida So1</t>
  </si>
  <si>
    <t>Vb (Kn)</t>
  </si>
  <si>
    <t>INSTRUCCIONES:</t>
  </si>
  <si>
    <t>Caso 1.- Observaciones simultáneas</t>
  </si>
  <si>
    <t>Caso 2.- Observaciones no simultáneas</t>
  </si>
  <si>
    <t>Caso 3.- Astro y demora a un punto</t>
  </si>
  <si>
    <t xml:space="preserve">Esta hoja de cálculo obtiene, a partir de los datos introducidos en las filas 3 y 4, la situación de observación por cruce de dos rectas, bién sean estas consecuencia de dos observaciones, simultáneas o no, o de una observación y una línea de demora. </t>
  </si>
  <si>
    <t>La Taberna del Puerto</t>
  </si>
  <si>
    <t>Autor: MasBarco Versión: 1.0</t>
  </si>
  <si>
    <r>
      <t xml:space="preserve">Introducir los datos de situación de estima, altura verdadera </t>
    </r>
    <r>
      <rPr>
        <b/>
        <sz val="10"/>
        <rFont val="Arial"/>
        <family val="2"/>
      </rPr>
      <t>av</t>
    </r>
    <r>
      <rPr>
        <sz val="10"/>
        <rFont val="Arial"/>
        <family val="2"/>
      </rPr>
      <t xml:space="preserve"> y astronómicos del astro en la primera línea y en la segunda poner el nombre correspondiente al punto, faro o similar, </t>
    </r>
    <r>
      <rPr>
        <b/>
        <sz val="10"/>
        <rFont val="Arial"/>
        <family val="2"/>
      </rPr>
      <t>un guión en la altura verdadera</t>
    </r>
    <r>
      <rPr>
        <sz val="10"/>
        <rFont val="Arial"/>
        <family val="2"/>
      </rPr>
      <t xml:space="preserve"> y la demora verdadera al punto en </t>
    </r>
    <r>
      <rPr>
        <b/>
        <sz val="10"/>
        <rFont val="Arial"/>
        <family val="2"/>
      </rPr>
      <t>Dm</t>
    </r>
    <r>
      <rPr>
        <sz val="10"/>
        <rFont val="Arial"/>
        <family val="2"/>
      </rPr>
      <t xml:space="preserve">. Si la velocidad </t>
    </r>
    <r>
      <rPr>
        <b/>
        <sz val="10"/>
        <rFont val="Arial"/>
        <family val="2"/>
      </rPr>
      <t>Vb</t>
    </r>
    <r>
      <rPr>
        <sz val="10"/>
        <rFont val="Arial"/>
        <family val="2"/>
      </rPr>
      <t xml:space="preserve"> no se deja en blanco o a cero las dos fechas y horas deben ser las mismas. </t>
    </r>
  </si>
  <si>
    <r>
      <t xml:space="preserve">Introducir los datos de situación de estima, altura verdadera </t>
    </r>
    <r>
      <rPr>
        <b/>
        <sz val="10"/>
        <rFont val="Arial"/>
        <family val="2"/>
      </rPr>
      <t>av</t>
    </r>
    <r>
      <rPr>
        <sz val="10"/>
        <rFont val="Arial"/>
        <family val="2"/>
      </rPr>
      <t xml:space="preserve"> y astronómicos de los dos astros,  la velocidad </t>
    </r>
    <r>
      <rPr>
        <b/>
        <sz val="10"/>
        <rFont val="Arial"/>
        <family val="2"/>
      </rPr>
      <t>Vb</t>
    </r>
    <r>
      <rPr>
        <sz val="10"/>
        <rFont val="Arial"/>
        <family val="2"/>
      </rPr>
      <t xml:space="preserve"> del buque en nudos y su rumbo verdadero </t>
    </r>
    <r>
      <rPr>
        <b/>
        <sz val="10"/>
        <rFont val="Arial"/>
        <family val="2"/>
      </rPr>
      <t>Rv</t>
    </r>
    <r>
      <rPr>
        <sz val="10"/>
        <rFont val="Arial"/>
        <family val="2"/>
      </rPr>
      <t xml:space="preserve"> junto con las fechas y horas de las dos observaciones. La hoja calcula la situación de estima de la 2ª observación según el rumbo y velocidad del barco, después de corregir la situación estimada inicial.</t>
    </r>
  </si>
  <si>
    <r>
      <t xml:space="preserve">Introducir los datos de situación de estima, altura verdadera </t>
    </r>
    <r>
      <rPr>
        <b/>
        <sz val="10"/>
        <rFont val="Arial"/>
        <family val="2"/>
      </rPr>
      <t>av</t>
    </r>
    <r>
      <rPr>
        <sz val="10"/>
        <rFont val="Arial"/>
        <family val="2"/>
      </rPr>
      <t xml:space="preserve"> y astronómicos de los dos astros. El dato de velocidad </t>
    </r>
    <r>
      <rPr>
        <b/>
        <sz val="10"/>
        <rFont val="Arial"/>
        <family val="2"/>
      </rPr>
      <t>Vb</t>
    </r>
    <r>
      <rPr>
        <sz val="10"/>
        <rFont val="Arial"/>
        <family val="2"/>
      </rPr>
      <t xml:space="preserve"> debe estar a cero o bien las fechas y horas de las dos observaciones deben ser iguales. NOTA: las latitudes Sur y las longitudes Oeste se introducen como negativas.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</si>
</sst>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000_ ;[Red]\-0.0000\ "/>
    <numFmt numFmtId="166" formatCode="0.0_ ;[Red]\-0.0\ "/>
    <numFmt numFmtId="167" formatCode="0_ ;[Red]\-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\ _€_-;\-* #,##0.0\ _€_-;_-* &quot;-&quot;??\ _€_-;_-@_-"/>
    <numFmt numFmtId="173" formatCode="_-* #,##0\ _€_-;\-* #,##0\ _€_-;_-* &quot;-&quot;??\ _€_-;_-@_-"/>
    <numFmt numFmtId="174" formatCode="0.000_ ;[Red]\-0.000\ "/>
    <numFmt numFmtId="175" formatCode="0.00000_ ;[Red]\-0.00000\ "/>
    <numFmt numFmtId="176" formatCode="0.000000_ ;[Red]\-0.000000\ "/>
    <numFmt numFmtId="177" formatCode="0.0000000_ ;[Red]\-0.0000000\ "/>
    <numFmt numFmtId="178" formatCode="0.00000000_ ;[Red]\-0.00000000\ "/>
    <numFmt numFmtId="179" formatCode="0.000000000_ ;[Red]\-0.000000000\ "/>
    <numFmt numFmtId="180" formatCode="0.0000000000_ ;[Red]\-0.0000000000\ "/>
    <numFmt numFmtId="181" formatCode="0.00000000000_ ;[Red]\-0.00000000000\ "/>
    <numFmt numFmtId="182" formatCode="0.000000000000_ ;[Red]\-0.000000000000\ "/>
    <numFmt numFmtId="183" formatCode="0.0000000000000_ ;[Red]\-0.0000000000000\ "/>
    <numFmt numFmtId="184" formatCode="0.00000000000000_ ;[Red]\-0.00000000000000\ "/>
    <numFmt numFmtId="185" formatCode="0.000000000000000_ ;[Red]\-0.000000000000000\ "/>
    <numFmt numFmtId="186" formatCode="0.0000000000000000_ ;[Red]\-0.0000000000000000\ 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hh:mm;@"/>
    <numFmt numFmtId="207" formatCode="hh:mm:ss;@"/>
    <numFmt numFmtId="208" formatCode="[$-40A]dddd\,\ dd&quot; de &quot;mmmm&quot; de &quot;yyyy"/>
    <numFmt numFmtId="209" formatCode="d/mm/yy;@"/>
    <numFmt numFmtId="210" formatCode="[$-F400]h:mm:ss\ AM/PM"/>
    <numFmt numFmtId="211" formatCode="0.00000000000000000_ ;[Red]\-0.00000000000000000\ "/>
    <numFmt numFmtId="212" formatCode="0.000000000000000000_ ;[Red]\-0.000000000000000000\ "/>
    <numFmt numFmtId="213" formatCode="0.0000000000000000000_ ;[Red]\-0.0000000000000000000\ "/>
    <numFmt numFmtId="214" formatCode="0.00000000000000000000_ ;[Red]\-0.00000000000000000000\ "/>
    <numFmt numFmtId="215" formatCode="0.000000000000000000000_ ;[Red]\-0.000000000000000000000\ "/>
    <numFmt numFmtId="216" formatCode="0.0000000000000000000000_ ;[Red]\-0.0000000000000000000000\ "/>
    <numFmt numFmtId="217" formatCode="0.00000000000000000000000_ ;[Red]\-0.00000000000000000000000\ "/>
    <numFmt numFmtId="218" formatCode="0.000000000000000000000000_ ;[Red]\-0.000000000000000000000000\ "/>
    <numFmt numFmtId="219" formatCode="0.0000000000000000000000000_ ;[Red]\-0.0000000000000000000000000\ "/>
    <numFmt numFmtId="220" formatCode="0.00000000000000000000000000_ ;[Red]\-0.00000000000000000000000000\ "/>
    <numFmt numFmtId="221" formatCode="0.000000000000000000000000000_ ;[Red]\-0.000000000000000000000000000\ "/>
    <numFmt numFmtId="222" formatCode="0.0000000000000000000000000000_ ;[Red]\-0.0000000000000000000000000000\ "/>
    <numFmt numFmtId="223" formatCode="0.00000000000000000000000000000_ ;[Red]\-0.00000000000000000000000000000\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41"/>
      </bottom>
    </border>
    <border>
      <left style="thin">
        <color indexed="23"/>
      </left>
      <right style="thin">
        <color indexed="23"/>
      </right>
      <top style="thin">
        <color indexed="41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43"/>
      </bottom>
    </border>
    <border>
      <left style="thin">
        <color indexed="23"/>
      </left>
      <right style="thin">
        <color indexed="23"/>
      </right>
      <top style="thin">
        <color indexed="4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5" xfId="15" applyNumberFormat="1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8" xfId="0" applyNumberFormat="1" applyBorder="1" applyAlignment="1">
      <alignment/>
    </xf>
    <xf numFmtId="164" fontId="0" fillId="0" borderId="8" xfId="0" applyNumberForma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/>
    </xf>
    <xf numFmtId="164" fontId="0" fillId="3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/>
    </xf>
    <xf numFmtId="209" fontId="0" fillId="3" borderId="5" xfId="0" applyNumberFormat="1" applyFill="1" applyBorder="1" applyAlignment="1">
      <alignment horizontal="center"/>
    </xf>
    <xf numFmtId="207" fontId="0" fillId="3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1" fillId="0" borderId="5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4" borderId="14" xfId="0" applyNumberFormat="1" applyFill="1" applyBorder="1" applyAlignment="1">
      <alignment horizontal="center" vertical="center"/>
    </xf>
    <xf numFmtId="176" fontId="0" fillId="4" borderId="15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76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Fill="1" applyBorder="1" applyAlignment="1">
      <alignment/>
    </xf>
    <xf numFmtId="176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1" fillId="0" borderId="18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0" fillId="0" borderId="21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64" fontId="1" fillId="0" borderId="5" xfId="15" applyNumberFormat="1" applyFont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justify" vertical="top"/>
    </xf>
    <xf numFmtId="164" fontId="0" fillId="0" borderId="34" xfId="0" applyNumberFormat="1" applyFont="1" applyBorder="1" applyAlignment="1">
      <alignment horizontal="justify" vertical="top"/>
    </xf>
    <xf numFmtId="164" fontId="0" fillId="0" borderId="35" xfId="0" applyNumberFormat="1" applyFont="1" applyBorder="1" applyAlignment="1">
      <alignment horizontal="justify" vertical="top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top"/>
    </xf>
    <xf numFmtId="164" fontId="0" fillId="0" borderId="3" xfId="0" applyNumberFormat="1" applyFont="1" applyBorder="1" applyAlignment="1">
      <alignment horizontal="justify" vertical="top"/>
    </xf>
    <xf numFmtId="164" fontId="0" fillId="0" borderId="36" xfId="0" applyNumberFormat="1" applyFont="1" applyBorder="1" applyAlignment="1">
      <alignment horizontal="justify" vertical="top"/>
    </xf>
    <xf numFmtId="164" fontId="0" fillId="0" borderId="4" xfId="0" applyNumberFormat="1" applyFont="1" applyBorder="1" applyAlignment="1">
      <alignment horizontal="justify" vertical="top"/>
    </xf>
    <xf numFmtId="164" fontId="0" fillId="0" borderId="1" xfId="0" applyNumberFormat="1" applyBorder="1" applyAlignment="1">
      <alignment horizontal="justify" vertical="top"/>
    </xf>
    <xf numFmtId="164" fontId="1" fillId="0" borderId="33" xfId="0" applyNumberFormat="1" applyFont="1" applyBorder="1" applyAlignment="1">
      <alignment horizontal="justify" vertical="top"/>
    </xf>
    <xf numFmtId="164" fontId="1" fillId="0" borderId="1" xfId="0" applyNumberFormat="1" applyFont="1" applyBorder="1" applyAlignment="1">
      <alignment horizontal="center" vertical="top"/>
    </xf>
    <xf numFmtId="164" fontId="1" fillId="6" borderId="3" xfId="0" applyNumberFormat="1" applyFont="1" applyFill="1" applyBorder="1" applyAlignment="1">
      <alignment horizontal="justify" vertical="top"/>
    </xf>
    <xf numFmtId="164" fontId="1" fillId="6" borderId="36" xfId="0" applyNumberFormat="1" applyFont="1" applyFill="1" applyBorder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N12" sqref="N12"/>
    </sheetView>
  </sheetViews>
  <sheetFormatPr defaultColWidth="9.140625" defaultRowHeight="13.5" customHeight="1"/>
  <cols>
    <col min="1" max="1" width="26.140625" style="7" customWidth="1"/>
    <col min="2" max="2" width="11.8515625" style="54" bestFit="1" customWidth="1"/>
    <col min="3" max="3" width="13.00390625" style="54" bestFit="1" customWidth="1"/>
    <col min="4" max="4" width="7.57421875" style="6" bestFit="1" customWidth="1"/>
    <col min="5" max="6" width="7.140625" style="6" customWidth="1"/>
    <col min="7" max="7" width="8.00390625" style="6" bestFit="1" customWidth="1"/>
    <col min="8" max="8" width="8.421875" style="6" bestFit="1" customWidth="1"/>
    <col min="9" max="9" width="10.7109375" style="6" customWidth="1"/>
    <col min="10" max="10" width="12.00390625" style="6" bestFit="1" customWidth="1"/>
    <col min="11" max="11" width="10.57421875" style="6" bestFit="1" customWidth="1"/>
    <col min="12" max="12" width="10.7109375" style="2" bestFit="1" customWidth="1"/>
    <col min="13" max="13" width="1.7109375" style="2" customWidth="1"/>
    <col min="14" max="14" width="38.8515625" style="106" customWidth="1"/>
    <col min="15" max="15" width="10.8515625" style="2" bestFit="1" customWidth="1"/>
    <col min="16" max="16" width="7.140625" style="2" bestFit="1" customWidth="1"/>
    <col min="17" max="17" width="8.140625" style="2" bestFit="1" customWidth="1"/>
    <col min="18" max="18" width="8.7109375" style="2" bestFit="1" customWidth="1"/>
    <col min="19" max="19" width="5.140625" style="2" bestFit="1" customWidth="1"/>
    <col min="20" max="21" width="8.7109375" style="2" customWidth="1"/>
    <col min="22" max="22" width="9.7109375" style="2" bestFit="1" customWidth="1"/>
    <col min="23" max="23" width="8.7109375" style="2" bestFit="1" customWidth="1"/>
    <col min="24" max="24" width="8.140625" style="2" bestFit="1" customWidth="1"/>
    <col min="25" max="25" width="8.7109375" style="2" bestFit="1" customWidth="1"/>
    <col min="26" max="16384" width="9.140625" style="3" customWidth="1"/>
  </cols>
  <sheetData>
    <row r="1" spans="1:13" s="1" customFormat="1" ht="13.5" customHeight="1">
      <c r="A1" s="88" t="s">
        <v>59</v>
      </c>
      <c r="B1" s="89" t="s">
        <v>60</v>
      </c>
      <c r="C1" s="89"/>
      <c r="D1" s="76" t="s">
        <v>16</v>
      </c>
      <c r="E1" s="88" t="s">
        <v>17</v>
      </c>
      <c r="F1" s="88"/>
      <c r="G1" s="88"/>
      <c r="H1" s="88" t="s">
        <v>58</v>
      </c>
      <c r="I1" s="88"/>
      <c r="J1" s="88" t="s">
        <v>57</v>
      </c>
      <c r="K1" s="88"/>
      <c r="L1" s="68"/>
      <c r="M1" s="95"/>
    </row>
    <row r="2" spans="1:14" s="1" customFormat="1" ht="13.5" customHeight="1">
      <c r="A2" s="88"/>
      <c r="B2" s="19" t="s">
        <v>45</v>
      </c>
      <c r="C2" s="19" t="s">
        <v>46</v>
      </c>
      <c r="D2" s="77" t="s">
        <v>15</v>
      </c>
      <c r="E2" s="19" t="s">
        <v>11</v>
      </c>
      <c r="F2" s="19" t="s">
        <v>10</v>
      </c>
      <c r="G2" s="19" t="s">
        <v>5</v>
      </c>
      <c r="H2" s="19" t="s">
        <v>24</v>
      </c>
      <c r="I2" s="19" t="s">
        <v>56</v>
      </c>
      <c r="J2" s="19" t="s">
        <v>33</v>
      </c>
      <c r="K2" s="19" t="s">
        <v>34</v>
      </c>
      <c r="L2" s="68"/>
      <c r="M2" s="95"/>
      <c r="N2" s="109" t="s">
        <v>70</v>
      </c>
    </row>
    <row r="3" spans="1:25" ht="13.5" customHeight="1">
      <c r="A3" s="30" t="s">
        <v>2</v>
      </c>
      <c r="B3" s="87">
        <f>(21*60+3)/60</f>
        <v>21.05</v>
      </c>
      <c r="C3" s="87">
        <f>-(17*60+15)/60</f>
        <v>-17.25</v>
      </c>
      <c r="D3" s="32">
        <f>(34*60+24.2)/60</f>
        <v>34.40333333333333</v>
      </c>
      <c r="E3" s="32">
        <f>(14*60+31.4)/60</f>
        <v>14.523333333333333</v>
      </c>
      <c r="F3" s="32">
        <f>(182*60+37.3)/60</f>
        <v>182.62166666666664</v>
      </c>
      <c r="G3" s="32">
        <f>(136*60+17.4)/60</f>
        <v>136.29</v>
      </c>
      <c r="H3" s="61">
        <v>16</v>
      </c>
      <c r="I3" s="61">
        <v>200</v>
      </c>
      <c r="J3" s="33">
        <v>39511</v>
      </c>
      <c r="K3" s="34">
        <v>0.9256944444444444</v>
      </c>
      <c r="L3" s="68"/>
      <c r="M3" s="95"/>
      <c r="N3" s="110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>
      <c r="A4" s="30" t="s">
        <v>4</v>
      </c>
      <c r="B4" s="87"/>
      <c r="C4" s="87"/>
      <c r="D4" s="32">
        <f>(40*60+28.1)/60</f>
        <v>40.468333333333334</v>
      </c>
      <c r="E4" s="32">
        <f>-(26*60+27.1)/60</f>
        <v>-26.451666666666664</v>
      </c>
      <c r="F4" s="32">
        <f>(112*60+31.1)/60</f>
        <v>112.51833333333335</v>
      </c>
      <c r="G4" s="32">
        <f>(245*60+35.3)/60</f>
        <v>245.5883333333333</v>
      </c>
      <c r="H4" s="61"/>
      <c r="I4" s="61"/>
      <c r="J4" s="33">
        <v>39512</v>
      </c>
      <c r="K4" s="34">
        <v>0.22847222222222222</v>
      </c>
      <c r="L4" s="68"/>
      <c r="M4" s="95"/>
      <c r="N4" s="11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24"/>
      <c r="B5" s="44"/>
      <c r="C5" s="44"/>
      <c r="D5" s="24"/>
      <c r="E5" s="24"/>
      <c r="F5" s="24"/>
      <c r="G5" s="24"/>
      <c r="H5" s="24">
        <v>0</v>
      </c>
      <c r="I5" s="24"/>
      <c r="J5" s="24"/>
      <c r="K5" s="24"/>
      <c r="L5" s="69"/>
      <c r="M5" s="95"/>
      <c r="N5" s="110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14" s="5" customFormat="1" ht="13.5" customHeight="1">
      <c r="A6" s="20" t="s">
        <v>35</v>
      </c>
      <c r="B6" s="89" t="s">
        <v>62</v>
      </c>
      <c r="C6" s="89"/>
      <c r="D6" s="76" t="s">
        <v>16</v>
      </c>
      <c r="E6" s="88" t="s">
        <v>17</v>
      </c>
      <c r="F6" s="88"/>
      <c r="G6" s="88"/>
      <c r="H6" s="88"/>
      <c r="I6" s="76" t="s">
        <v>16</v>
      </c>
      <c r="J6" s="88" t="s">
        <v>44</v>
      </c>
      <c r="K6" s="88"/>
      <c r="L6" s="68"/>
      <c r="M6" s="95"/>
      <c r="N6" s="110"/>
    </row>
    <row r="7" spans="1:14" s="4" customFormat="1" ht="13.5" customHeight="1">
      <c r="A7" s="20" t="s">
        <v>51</v>
      </c>
      <c r="B7" s="43" t="s">
        <v>45</v>
      </c>
      <c r="C7" s="43" t="s">
        <v>46</v>
      </c>
      <c r="D7" s="77" t="s">
        <v>15</v>
      </c>
      <c r="E7" s="19" t="s">
        <v>11</v>
      </c>
      <c r="F7" s="19" t="s">
        <v>10</v>
      </c>
      <c r="G7" s="19" t="s">
        <v>5</v>
      </c>
      <c r="H7" s="19" t="s">
        <v>12</v>
      </c>
      <c r="I7" s="77" t="s">
        <v>13</v>
      </c>
      <c r="J7" s="19" t="s">
        <v>32</v>
      </c>
      <c r="K7" s="19" t="s">
        <v>14</v>
      </c>
      <c r="L7" s="68"/>
      <c r="M7" s="95"/>
      <c r="N7" s="110"/>
    </row>
    <row r="8" spans="1:14" ht="13.5" customHeight="1">
      <c r="A8" s="35" t="str">
        <f>CONCATENATE("Recta de ",A3)</f>
        <v>Recta de Denébola</v>
      </c>
      <c r="B8" s="45">
        <f aca="true" t="shared" si="0" ref="B8:G8">B3</f>
        <v>21.05</v>
      </c>
      <c r="C8" s="45">
        <f t="shared" si="0"/>
        <v>-17.25</v>
      </c>
      <c r="D8" s="36">
        <f t="shared" si="0"/>
        <v>34.40333333333333</v>
      </c>
      <c r="E8" s="36">
        <f t="shared" si="0"/>
        <v>14.523333333333333</v>
      </c>
      <c r="F8" s="36">
        <f t="shared" si="0"/>
        <v>182.62166666666664</v>
      </c>
      <c r="G8" s="36">
        <f t="shared" si="0"/>
        <v>136.29</v>
      </c>
      <c r="H8" s="37">
        <f>IF(ABS(MOD(F8+G8+C8,360))&gt;180,360-MOD(F8+G8+C8,360),-MOD(F8+G8+C8,360))</f>
        <v>58.33833333333337</v>
      </c>
      <c r="I8" s="37">
        <f>DEGREES(ASIN(SIN(B8*PI()/180)*SIN(E8*PI()/180)+(COS(B8*PI()/180)*COS(E8*PI()/180)*(COS(H8*PI()/180)))))</f>
        <v>34.35329815652941</v>
      </c>
      <c r="J8" s="38">
        <f>(D8-I8)*60</f>
        <v>3.002110608235</v>
      </c>
      <c r="K8" s="38">
        <f>SIGN(H8)*DEGREES(ACOS((SIN(E8*PI()/180)-SIN(B8*PI()/180)*SIN(I8*PI()/180))/(COS(B8*PI()/180)*COS(I8*PI()/180))))</f>
        <v>86.42155423308601</v>
      </c>
      <c r="L8" s="68"/>
      <c r="M8" s="95"/>
      <c r="N8" s="110"/>
    </row>
    <row r="9" spans="1:14" ht="13.5" customHeight="1">
      <c r="A9" s="55"/>
      <c r="B9" s="46" t="str">
        <f>IF(B8="-",B8,CONCATENATE(TEXT(ABS(TRUNC(B8)),"0"),"º ",TEXT(ABS((B8-TRUNC(B8)))*60,"0,0"),"' ",IF(B8&lt;0,"S","N")))</f>
        <v>21º 3,0' N</v>
      </c>
      <c r="C9" s="46" t="str">
        <f>IF(C8="-",C8,CONCATENATE(TEXT(ABS(TRUNC(C8)),"0"),"º ",TEXT(ABS((C8-TRUNC(C8)))*60,"0,0"),"' ",IF(C8&lt;0,"W","E")))</f>
        <v>17º 15,0' W</v>
      </c>
      <c r="D9" s="84"/>
      <c r="E9" s="85"/>
      <c r="F9" s="85"/>
      <c r="G9" s="85"/>
      <c r="H9" s="85"/>
      <c r="I9" s="85"/>
      <c r="J9" s="85"/>
      <c r="K9" s="86"/>
      <c r="L9" s="68"/>
      <c r="M9" s="95"/>
      <c r="N9" s="102"/>
    </row>
    <row r="10" spans="1:14" ht="13.5" customHeight="1">
      <c r="A10" s="25"/>
      <c r="B10" s="47"/>
      <c r="C10" s="47"/>
      <c r="D10" s="26"/>
      <c r="E10" s="26"/>
      <c r="F10" s="26"/>
      <c r="G10" s="26"/>
      <c r="H10" s="26"/>
      <c r="I10" s="26"/>
      <c r="J10" s="26"/>
      <c r="K10" s="27"/>
      <c r="L10" s="69"/>
      <c r="M10" s="95"/>
      <c r="N10" s="108" t="s">
        <v>72</v>
      </c>
    </row>
    <row r="11" spans="1:14" ht="13.5" customHeight="1">
      <c r="A11" s="20" t="s">
        <v>37</v>
      </c>
      <c r="B11" s="89" t="s">
        <v>62</v>
      </c>
      <c r="C11" s="89"/>
      <c r="D11" s="88" t="s">
        <v>43</v>
      </c>
      <c r="E11" s="88"/>
      <c r="F11" s="88" t="s">
        <v>42</v>
      </c>
      <c r="G11" s="88"/>
      <c r="H11" s="88"/>
      <c r="I11" s="89" t="s">
        <v>64</v>
      </c>
      <c r="J11" s="89"/>
      <c r="K11" s="22"/>
      <c r="L11" s="69"/>
      <c r="M11" s="99"/>
      <c r="N11" s="108" t="s">
        <v>71</v>
      </c>
    </row>
    <row r="12" spans="1:13" ht="13.5" customHeight="1">
      <c r="A12" s="20" t="s">
        <v>36</v>
      </c>
      <c r="B12" s="43" t="s">
        <v>45</v>
      </c>
      <c r="C12" s="43" t="s">
        <v>46</v>
      </c>
      <c r="D12" s="19" t="s">
        <v>32</v>
      </c>
      <c r="E12" s="19" t="s">
        <v>14</v>
      </c>
      <c r="F12" s="19" t="s">
        <v>9</v>
      </c>
      <c r="G12" s="19" t="s">
        <v>26</v>
      </c>
      <c r="H12" s="19" t="s">
        <v>27</v>
      </c>
      <c r="I12" s="19" t="s">
        <v>45</v>
      </c>
      <c r="J12" s="19" t="s">
        <v>46</v>
      </c>
      <c r="K12" s="22"/>
      <c r="L12" s="69"/>
      <c r="M12" s="99"/>
    </row>
    <row r="13" spans="1:13" ht="13.5" customHeight="1">
      <c r="A13" s="39" t="str">
        <f>CONCATENATE("Corrección por ",A3)</f>
        <v>Corrección por Denébola</v>
      </c>
      <c r="B13" s="48">
        <f>IF($G$17=0,"-",B8)</f>
        <v>21.05</v>
      </c>
      <c r="C13" s="48">
        <f>IF($G$17=0,"-",C8)</f>
        <v>-17.25</v>
      </c>
      <c r="D13" s="37">
        <f>IF($G$17=0,"-",J8)</f>
        <v>3.002110608235</v>
      </c>
      <c r="E13" s="37">
        <f>IF($G$17=0,"-",K8)</f>
        <v>86.42155423308601</v>
      </c>
      <c r="F13" s="37">
        <f>IF($G$17=0,"-",D13*SIN(E13*PI()/180))</f>
        <v>2.9962573304955678</v>
      </c>
      <c r="G13" s="37">
        <f>IF($G$17=0,"-",D13*COS(E13*PI()/180))</f>
        <v>0.18737692901928008</v>
      </c>
      <c r="H13" s="37">
        <f>IF($G$17=0,"-",D13*SIN(E13*PI()/180)/COS((B13+B17)/2*PI()/180))</f>
        <v>3.210536405921928</v>
      </c>
      <c r="I13" s="37">
        <f>IF($G$17=0,"-",B13+G13/60)</f>
        <v>21.053122948816988</v>
      </c>
      <c r="J13" s="37">
        <f>IF($G$17=0,"-",C13+H13/60)</f>
        <v>-17.1964910599013</v>
      </c>
      <c r="K13" s="22"/>
      <c r="L13" s="69"/>
      <c r="M13" s="99"/>
    </row>
    <row r="14" spans="1:14" ht="13.5" customHeight="1">
      <c r="A14" s="26"/>
      <c r="B14" s="47"/>
      <c r="C14" s="47"/>
      <c r="D14" s="26"/>
      <c r="E14" s="26"/>
      <c r="F14" s="26"/>
      <c r="G14" s="26"/>
      <c r="H14" s="26"/>
      <c r="I14" s="26"/>
      <c r="J14" s="26"/>
      <c r="K14" s="23"/>
      <c r="L14" s="70"/>
      <c r="M14" s="99"/>
      <c r="N14" s="107" t="s">
        <v>66</v>
      </c>
    </row>
    <row r="15" spans="1:14" ht="13.5" customHeight="1">
      <c r="A15" s="20" t="s">
        <v>38</v>
      </c>
      <c r="B15" s="89" t="s">
        <v>64</v>
      </c>
      <c r="C15" s="89"/>
      <c r="D15" s="88" t="s">
        <v>49</v>
      </c>
      <c r="E15" s="88"/>
      <c r="F15" s="88" t="s">
        <v>48</v>
      </c>
      <c r="G15" s="88"/>
      <c r="H15" s="88" t="s">
        <v>42</v>
      </c>
      <c r="I15" s="88"/>
      <c r="J15" s="88"/>
      <c r="K15" s="89" t="s">
        <v>63</v>
      </c>
      <c r="L15" s="89"/>
      <c r="M15" s="100"/>
      <c r="N15" s="107" t="s">
        <v>67</v>
      </c>
    </row>
    <row r="16" spans="1:14" ht="13.5" customHeight="1">
      <c r="A16" s="20" t="s">
        <v>50</v>
      </c>
      <c r="B16" s="43" t="s">
        <v>45</v>
      </c>
      <c r="C16" s="43" t="s">
        <v>46</v>
      </c>
      <c r="D16" s="19" t="s">
        <v>65</v>
      </c>
      <c r="E16" s="19" t="s">
        <v>23</v>
      </c>
      <c r="F16" s="19" t="s">
        <v>25</v>
      </c>
      <c r="G16" s="19" t="s">
        <v>22</v>
      </c>
      <c r="H16" s="19" t="s">
        <v>9</v>
      </c>
      <c r="I16" s="19" t="s">
        <v>26</v>
      </c>
      <c r="J16" s="19" t="s">
        <v>27</v>
      </c>
      <c r="K16" s="19" t="s">
        <v>45</v>
      </c>
      <c r="L16" s="19" t="s">
        <v>46</v>
      </c>
      <c r="M16" s="96"/>
      <c r="N16" s="92" t="s">
        <v>75</v>
      </c>
    </row>
    <row r="17" spans="1:14" ht="13.5" customHeight="1">
      <c r="A17" s="39" t="str">
        <f>CONCATENATE("Sit. estima para ",A4)</f>
        <v>Sit. estima para Antares</v>
      </c>
      <c r="B17" s="49">
        <f>I13</f>
        <v>21.053122948816988</v>
      </c>
      <c r="C17" s="49">
        <f>J13</f>
        <v>-17.1964910599013</v>
      </c>
      <c r="D17" s="37">
        <f>H3</f>
        <v>16</v>
      </c>
      <c r="E17" s="37">
        <f>I3</f>
        <v>200</v>
      </c>
      <c r="F17" s="37">
        <f>((J4+K4)-(J3+K3))*24</f>
        <v>7.2666666667792015</v>
      </c>
      <c r="G17" s="37">
        <f>D17*F17</f>
        <v>116.26666666846722</v>
      </c>
      <c r="H17" s="37">
        <f>IF($G$17=0,"-",G17*SIN(E17*PI()/180))</f>
        <v>-39.765541997946904</v>
      </c>
      <c r="I17" s="37">
        <f>IF($G$17=0,"-",G17*COS(E17*PI()/180))</f>
        <v>-109.25492871173358</v>
      </c>
      <c r="J17" s="37">
        <f>IF($G$17=0,"-",H17/COS((B17+K17)/2*PI()/180))</f>
        <v>-42.35612358076331</v>
      </c>
      <c r="K17" s="40">
        <f>IF($G$17=0,"-",B17+I17/60)</f>
        <v>19.232207470288095</v>
      </c>
      <c r="L17" s="40">
        <f>IF($G$17=0,"-",C17+J17/60)</f>
        <v>-17.902426452914025</v>
      </c>
      <c r="M17" s="96"/>
      <c r="N17" s="93"/>
    </row>
    <row r="18" spans="1:14" ht="13.5" customHeight="1">
      <c r="A18" s="56"/>
      <c r="B18" s="46" t="str">
        <f>IF(B17="-",B17,CONCATENATE(TEXT(ABS(TRUNC(B17)),"0"),"º",TEXT(ABS((B17-TRUNC(B17)))*60,"0,0"),"'",IF(B17&lt;0,"S","N")))</f>
        <v>21º3,2'N</v>
      </c>
      <c r="C18" s="46" t="str">
        <f>IF(C17="-",C17,CONCATENATE(TEXT(ABS(TRUNC(C17)),"0"),"º",TEXT(ABS((C17-TRUNC(C17)))*60,"0,0"),"'",IF(C17&lt;0,"W","E")))</f>
        <v>17º11,8'W</v>
      </c>
      <c r="D18" s="81"/>
      <c r="E18" s="82"/>
      <c r="F18" s="82"/>
      <c r="G18" s="82"/>
      <c r="H18" s="82"/>
      <c r="I18" s="82"/>
      <c r="J18" s="83"/>
      <c r="K18" s="37" t="str">
        <f>IF(K17="-",K17,CONCATENATE(TEXT(ABS(TRUNC(K17)),"0"),"º ",TEXT(ABS((K17-TRUNC(K17)))*60,"0,0"),"' ",IF(K17&lt;0,"S","N")))</f>
        <v>19º 13,9' N</v>
      </c>
      <c r="L18" s="37" t="str">
        <f>IF(L17="-",L17,CONCATENATE(TEXT(ABS(TRUNC(L17)),"0"),"º ",TEXT(ABS((L17-TRUNC(L17)))*60,"0,0"),"' ",IF(L17&lt;0,"W","E")))</f>
        <v>17º 54,1' W</v>
      </c>
      <c r="M18" s="101"/>
      <c r="N18" s="93"/>
    </row>
    <row r="19" spans="1:14" ht="13.5" customHeight="1">
      <c r="A19" s="26"/>
      <c r="B19" s="50"/>
      <c r="C19" s="50"/>
      <c r="D19" s="28"/>
      <c r="E19" s="28"/>
      <c r="F19" s="28"/>
      <c r="G19" s="28"/>
      <c r="H19" s="28"/>
      <c r="I19" s="28"/>
      <c r="J19" s="28"/>
      <c r="K19" s="28"/>
      <c r="L19" s="71"/>
      <c r="M19" s="97"/>
      <c r="N19" s="93"/>
    </row>
    <row r="20" spans="1:14" s="5" customFormat="1" ht="13.5" customHeight="1">
      <c r="A20" s="20" t="s">
        <v>39</v>
      </c>
      <c r="B20" s="89" t="s">
        <v>63</v>
      </c>
      <c r="C20" s="89"/>
      <c r="D20" s="76" t="s">
        <v>16</v>
      </c>
      <c r="E20" s="88" t="s">
        <v>17</v>
      </c>
      <c r="F20" s="88"/>
      <c r="G20" s="88"/>
      <c r="H20" s="88"/>
      <c r="I20" s="76" t="s">
        <v>16</v>
      </c>
      <c r="J20" s="88" t="s">
        <v>47</v>
      </c>
      <c r="K20" s="88"/>
      <c r="L20" s="72"/>
      <c r="M20" s="98"/>
      <c r="N20" s="93"/>
    </row>
    <row r="21" spans="1:14" s="4" customFormat="1" ht="13.5" customHeight="1">
      <c r="A21" s="20" t="s">
        <v>52</v>
      </c>
      <c r="B21" s="43" t="s">
        <v>45</v>
      </c>
      <c r="C21" s="43" t="s">
        <v>46</v>
      </c>
      <c r="D21" s="77" t="s">
        <v>15</v>
      </c>
      <c r="E21" s="19" t="s">
        <v>11</v>
      </c>
      <c r="F21" s="19" t="s">
        <v>10</v>
      </c>
      <c r="G21" s="19" t="s">
        <v>5</v>
      </c>
      <c r="H21" s="19" t="s">
        <v>12</v>
      </c>
      <c r="I21" s="77" t="s">
        <v>13</v>
      </c>
      <c r="J21" s="19" t="s">
        <v>32</v>
      </c>
      <c r="K21" s="19" t="s">
        <v>14</v>
      </c>
      <c r="L21" s="72"/>
      <c r="M21" s="98"/>
      <c r="N21" s="93"/>
    </row>
    <row r="22" spans="1:16" ht="13.5" customHeight="1">
      <c r="A22" s="35" t="str">
        <f>CONCATENATE("Recta de ",A4)</f>
        <v>Recta de Antares</v>
      </c>
      <c r="B22" s="51">
        <f>IF($G$17=0,B8,K17)</f>
        <v>19.232207470288095</v>
      </c>
      <c r="C22" s="51">
        <f>IF($G$17=0,C8,L17)</f>
        <v>-17.902426452914025</v>
      </c>
      <c r="D22" s="36">
        <f>D4</f>
        <v>40.468333333333334</v>
      </c>
      <c r="E22" s="36">
        <f>E4</f>
        <v>-26.451666666666664</v>
      </c>
      <c r="F22" s="36">
        <f>F4</f>
        <v>112.51833333333335</v>
      </c>
      <c r="G22" s="36">
        <f>G4</f>
        <v>245.5883333333333</v>
      </c>
      <c r="H22" s="37">
        <f>IF(D22="-",D22,IF(ABS(MOD(F22+G22+C22,360))&gt;180,360-MOD(F22+G22+C22,360),-MOD(F22+G22+C22,360)))</f>
        <v>19.795759786247345</v>
      </c>
      <c r="I22" s="37">
        <f>IF(D22="-",D22,DEGREES(ASIN(SIN(B22*PI()/180)*SIN(E22*PI()/180)+(COS(B22*PI()/180)*COS(E22*PI()/180)*(COS(H22*PI()/180))))))</f>
        <v>40.44078078103363</v>
      </c>
      <c r="J22" s="38">
        <f>IF(D22="-",0,(D22-I22)*60)</f>
        <v>1.653153137982173</v>
      </c>
      <c r="K22" s="38">
        <f>IF(D22="-",I3-90,SIGN(H22)*DEGREES(ACOS((SIN(E22*PI()/180)-SIN(B22*PI()/180)*SIN(I22*PI()/180))/(COS(B22*PI()/180)*COS(I22*PI()/180)))))</f>
        <v>156.52178625223948</v>
      </c>
      <c r="L22" s="73"/>
      <c r="M22" s="97"/>
      <c r="N22" s="94"/>
      <c r="P22" s="9"/>
    </row>
    <row r="23" spans="1:16" ht="13.5" customHeight="1">
      <c r="A23" s="55"/>
      <c r="B23" s="52" t="str">
        <f>IF(B22="-",B22,CONCATENATE(TEXT(ABS(TRUNC(B22)),"0"),"º ",TEXT(ABS((B22-TRUNC(B22)))*60,"0,0"),"' ",IF(B22&lt;0,"S","N")))</f>
        <v>19º 13,9' N</v>
      </c>
      <c r="C23" s="52" t="str">
        <f>IF(C22="-",C22,CONCATENATE(TEXT(ABS(TRUNC(C22)),"0"),"º ",TEXT(ABS((C22-TRUNC(C22)))*60,"0,0"),"' ",IF(C22&lt;0,"W","E")))</f>
        <v>17º 54,1' W</v>
      </c>
      <c r="D23" s="84"/>
      <c r="E23" s="85"/>
      <c r="F23" s="85"/>
      <c r="G23" s="85"/>
      <c r="H23" s="85"/>
      <c r="I23" s="85"/>
      <c r="J23" s="85"/>
      <c r="K23" s="86"/>
      <c r="L23" s="73"/>
      <c r="M23" s="97"/>
      <c r="P23" s="9"/>
    </row>
    <row r="24" spans="1:16" ht="13.5" customHeight="1">
      <c r="A24" s="25"/>
      <c r="B24" s="50"/>
      <c r="C24" s="50"/>
      <c r="D24" s="29"/>
      <c r="E24" s="29"/>
      <c r="F24" s="29"/>
      <c r="G24" s="28"/>
      <c r="H24" s="28"/>
      <c r="I24" s="28"/>
      <c r="J24" s="28"/>
      <c r="K24" s="28"/>
      <c r="L24" s="74"/>
      <c r="M24" s="97"/>
      <c r="N24" s="107" t="s">
        <v>68</v>
      </c>
      <c r="P24" s="9"/>
    </row>
    <row r="25" spans="1:14" ht="13.5" customHeight="1">
      <c r="A25" s="20" t="s">
        <v>40</v>
      </c>
      <c r="B25" s="88" t="s">
        <v>18</v>
      </c>
      <c r="C25" s="88"/>
      <c r="D25" s="88"/>
      <c r="E25" s="88"/>
      <c r="F25" s="88" t="s">
        <v>21</v>
      </c>
      <c r="G25" s="88"/>
      <c r="H25" s="88"/>
      <c r="I25" s="88" t="s">
        <v>30</v>
      </c>
      <c r="J25" s="88"/>
      <c r="K25" s="88"/>
      <c r="L25" s="73"/>
      <c r="M25" s="97"/>
      <c r="N25" s="103" t="s">
        <v>74</v>
      </c>
    </row>
    <row r="26" spans="1:14" ht="13.5" customHeight="1">
      <c r="A26" s="20" t="s">
        <v>41</v>
      </c>
      <c r="B26" s="43" t="s">
        <v>6</v>
      </c>
      <c r="C26" s="43" t="s">
        <v>3</v>
      </c>
      <c r="D26" s="19" t="s">
        <v>7</v>
      </c>
      <c r="E26" s="19" t="s">
        <v>8</v>
      </c>
      <c r="F26" s="19" t="s">
        <v>9</v>
      </c>
      <c r="G26" s="19" t="s">
        <v>19</v>
      </c>
      <c r="H26" s="19" t="s">
        <v>20</v>
      </c>
      <c r="I26" s="19" t="s">
        <v>45</v>
      </c>
      <c r="J26" s="19" t="s">
        <v>46</v>
      </c>
      <c r="K26" s="21" t="s">
        <v>22</v>
      </c>
      <c r="L26" s="73"/>
      <c r="M26" s="97"/>
      <c r="N26" s="104"/>
    </row>
    <row r="27" spans="1:14" ht="13.5" customHeight="1">
      <c r="A27" s="39" t="str">
        <f>CONCATENATE("Corte rectas ",A3,"/",A4)</f>
        <v>Corte rectas Denébola/Antares</v>
      </c>
      <c r="B27" s="48">
        <f>IF($G$17=0,J8/SIN(K8*PI()/180),0)</f>
        <v>0</v>
      </c>
      <c r="C27" s="48">
        <f>J8/COS(K8*PI()/180)</f>
        <v>48.0991344625451</v>
      </c>
      <c r="D27" s="37">
        <f>J22/SIN(K22*PI()/180)</f>
        <v>4.149477273640373</v>
      </c>
      <c r="E27" s="37">
        <f>J22/COS(K22*PI()/180)</f>
        <v>-1.8023682707684643</v>
      </c>
      <c r="F27" s="37">
        <f>IF(B27=0,1/(1/D27-TAN(K8*PI()/180)/E27),IF(D27=0,1/(1/B27-TAN(K22*PI()/180)/C27),(1-C27/E27)/(1/D27-C27/B27/E27)))</f>
        <v>0.10973392781811067</v>
      </c>
      <c r="G27" s="37">
        <f>IF(B27=0,-F27*TAN(K8*PI()/180),IF(D27=0,-F27*TAN(K22*PI()/180),C27*(1-F27/B27)))</f>
        <v>-1.7547042069157552</v>
      </c>
      <c r="H27" s="37">
        <f>F27/COS((I27+B22)/2*PI()/180)</f>
        <v>0.11620966593936087</v>
      </c>
      <c r="I27" s="41">
        <f>B22+G27/60</f>
        <v>19.202962400172833</v>
      </c>
      <c r="J27" s="41">
        <f>C22+H27/60</f>
        <v>-17.900489625148367</v>
      </c>
      <c r="K27" s="90">
        <f>(F27^2+G27^2)^0.5</f>
        <v>1.7581320737311632</v>
      </c>
      <c r="L27" s="73"/>
      <c r="M27" s="97"/>
      <c r="N27" s="104"/>
    </row>
    <row r="28" spans="1:14" ht="13.5" customHeight="1">
      <c r="A28" s="78"/>
      <c r="B28" s="79"/>
      <c r="C28" s="79"/>
      <c r="D28" s="79"/>
      <c r="E28" s="79"/>
      <c r="F28" s="79"/>
      <c r="G28" s="79"/>
      <c r="H28" s="80"/>
      <c r="I28" s="42" t="str">
        <f>IF(I27="-",I27,CONCATENATE(TEXT(ABS(TRUNC(I27)),"0"),"º ",TEXT(ABS((I27-TRUNC(I27)))*60,"0,0"),"' ",IF(I27&lt;0,"S","N")))</f>
        <v>19º 12,2' N</v>
      </c>
      <c r="J28" s="42" t="str">
        <f>IF(J27="-",J27,CONCATENATE(TEXT(ABS(TRUNC(J27)),"0"),"º ",TEXT(ABS((J27-TRUNC(J27)))*60,"0,0"),"' ",IF(J27&lt;0,"W","E")))</f>
        <v>17º 54,0' W</v>
      </c>
      <c r="K28" s="90"/>
      <c r="L28" s="73"/>
      <c r="M28" s="97"/>
      <c r="N28" s="104"/>
    </row>
    <row r="29" spans="1:25" s="11" customFormat="1" ht="13.5" customHeight="1">
      <c r="A29" s="57"/>
      <c r="B29" s="58"/>
      <c r="C29" s="58"/>
      <c r="D29" s="59"/>
      <c r="E29" s="59"/>
      <c r="F29" s="59"/>
      <c r="G29" s="59"/>
      <c r="H29" s="59"/>
      <c r="I29" s="58"/>
      <c r="J29" s="58"/>
      <c r="K29" s="59"/>
      <c r="L29" s="75"/>
      <c r="M29" s="75"/>
      <c r="N29" s="10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3.5" customHeight="1">
      <c r="A30" s="15"/>
      <c r="B30" s="53"/>
      <c r="C30" s="53"/>
      <c r="D30" s="16"/>
      <c r="E30" s="16"/>
      <c r="F30" s="16"/>
      <c r="G30" s="16"/>
      <c r="H30" s="16"/>
      <c r="I30" s="8"/>
      <c r="J30" s="8"/>
      <c r="K30" s="16"/>
      <c r="L30" s="10"/>
      <c r="M30" s="10"/>
      <c r="N30" s="10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3.5" customHeight="1">
      <c r="A31" s="91" t="s">
        <v>61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14"/>
      <c r="M31" s="14"/>
      <c r="N31" s="10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14" s="1" customFormat="1" ht="13.5" customHeight="1">
      <c r="A32" s="88" t="s">
        <v>59</v>
      </c>
      <c r="B32" s="89" t="s">
        <v>60</v>
      </c>
      <c r="C32" s="89"/>
      <c r="D32" s="76" t="s">
        <v>16</v>
      </c>
      <c r="E32" s="88" t="s">
        <v>17</v>
      </c>
      <c r="F32" s="88"/>
      <c r="G32" s="88"/>
      <c r="H32" s="88" t="s">
        <v>58</v>
      </c>
      <c r="I32" s="88"/>
      <c r="J32" s="88" t="s">
        <v>57</v>
      </c>
      <c r="K32" s="88"/>
      <c r="L32" s="12"/>
      <c r="M32" s="12"/>
      <c r="N32" s="104"/>
    </row>
    <row r="33" spans="1:14" s="1" customFormat="1" ht="13.5" customHeight="1">
      <c r="A33" s="88"/>
      <c r="B33" s="19" t="s">
        <v>45</v>
      </c>
      <c r="C33" s="19" t="s">
        <v>46</v>
      </c>
      <c r="D33" s="77" t="s">
        <v>15</v>
      </c>
      <c r="E33" s="19" t="s">
        <v>11</v>
      </c>
      <c r="F33" s="19" t="s">
        <v>10</v>
      </c>
      <c r="G33" s="19" t="s">
        <v>5</v>
      </c>
      <c r="H33" s="19" t="s">
        <v>24</v>
      </c>
      <c r="I33" s="19" t="s">
        <v>56</v>
      </c>
      <c r="J33" s="19" t="s">
        <v>33</v>
      </c>
      <c r="K33" s="19" t="s">
        <v>34</v>
      </c>
      <c r="L33" s="12"/>
      <c r="M33" s="12"/>
      <c r="N33" s="105"/>
    </row>
    <row r="34" spans="1:25" ht="13.5" customHeight="1">
      <c r="A34" s="30" t="s">
        <v>53</v>
      </c>
      <c r="B34" s="87">
        <f>(32*60+4)/60</f>
        <v>32.06666666666667</v>
      </c>
      <c r="C34" s="87">
        <f>-(21*60+30)/60</f>
        <v>-21.5</v>
      </c>
      <c r="D34" s="32">
        <f>(51*60+43)/60</f>
        <v>51.71666666666667</v>
      </c>
      <c r="E34" s="32">
        <f>(19*60+41)/60</f>
        <v>19.683333333333334</v>
      </c>
      <c r="F34" s="32"/>
      <c r="G34" s="31">
        <f>(340*60+53.4)/60</f>
        <v>340.89000000000004</v>
      </c>
      <c r="H34" s="61"/>
      <c r="I34" s="61">
        <v>330</v>
      </c>
      <c r="J34" s="33">
        <v>39586</v>
      </c>
      <c r="K34" s="34">
        <v>0.4444444444444444</v>
      </c>
      <c r="L34" s="13"/>
      <c r="M34" s="1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>
      <c r="A35" s="30" t="s">
        <v>54</v>
      </c>
      <c r="B35" s="87"/>
      <c r="C35" s="87"/>
      <c r="D35" s="32" t="s">
        <v>55</v>
      </c>
      <c r="E35" s="32"/>
      <c r="F35" s="32"/>
      <c r="G35" s="32"/>
      <c r="H35" s="61"/>
      <c r="I35" s="61"/>
      <c r="J35" s="33">
        <v>39586</v>
      </c>
      <c r="K35" s="34">
        <v>0.4444444444444444</v>
      </c>
      <c r="L35" s="13"/>
      <c r="M35" s="13"/>
      <c r="N35" s="107" t="s">
        <v>69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>
      <c r="A36" s="62"/>
      <c r="B36" s="63"/>
      <c r="C36" s="63"/>
      <c r="D36" s="64"/>
      <c r="E36" s="64"/>
      <c r="F36" s="64"/>
      <c r="G36" s="64"/>
      <c r="H36" s="64"/>
      <c r="I36" s="64"/>
      <c r="J36" s="64"/>
      <c r="K36" s="64"/>
      <c r="L36" s="13"/>
      <c r="M36" s="13"/>
      <c r="N36" s="103" t="s">
        <v>73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>
      <c r="A37" s="30" t="s">
        <v>0</v>
      </c>
      <c r="B37" s="87">
        <f>(30*60+30)/60</f>
        <v>30.5</v>
      </c>
      <c r="C37" s="87">
        <f>-(21*60+0)/60</f>
        <v>-21</v>
      </c>
      <c r="D37" s="32">
        <f>(27*60+30.1)/60</f>
        <v>27.501666666666665</v>
      </c>
      <c r="E37" s="32">
        <f>(26*60+41)/60</f>
        <v>26.683333333333334</v>
      </c>
      <c r="F37" s="32">
        <f>(126*60+13.8)/60</f>
        <v>126.23</v>
      </c>
      <c r="G37" s="32">
        <f>(182*60+23.2)/60</f>
        <v>182.38666666666668</v>
      </c>
      <c r="H37" s="61"/>
      <c r="I37" s="61"/>
      <c r="J37" s="33">
        <v>39586</v>
      </c>
      <c r="K37" s="34">
        <v>0.8486111111111111</v>
      </c>
      <c r="L37" s="13"/>
      <c r="M37" s="13"/>
      <c r="N37" s="10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>
      <c r="A38" s="30" t="s">
        <v>1</v>
      </c>
      <c r="B38" s="87"/>
      <c r="C38" s="87"/>
      <c r="D38" s="32">
        <f>(26*60+33.7)/60</f>
        <v>26.561666666666667</v>
      </c>
      <c r="E38" s="32">
        <f>(46*60+0.5)/60</f>
        <v>46.00833333333333</v>
      </c>
      <c r="F38" s="32">
        <f>(280*60+40.6)/60</f>
        <v>280.6766666666666</v>
      </c>
      <c r="G38" s="32">
        <f>(182*60+23.2)/60</f>
        <v>182.38666666666668</v>
      </c>
      <c r="H38" s="61"/>
      <c r="I38" s="61"/>
      <c r="J38" s="33">
        <v>39586</v>
      </c>
      <c r="K38" s="34">
        <v>0.8486111111111111</v>
      </c>
      <c r="L38" s="13"/>
      <c r="M38" s="13"/>
      <c r="N38" s="10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>
      <c r="A39" s="65"/>
      <c r="B39" s="66"/>
      <c r="C39" s="66"/>
      <c r="D39" s="67"/>
      <c r="E39" s="67"/>
      <c r="F39" s="67"/>
      <c r="G39" s="67"/>
      <c r="H39" s="67"/>
      <c r="I39" s="67"/>
      <c r="J39" s="67"/>
      <c r="K39" s="67"/>
      <c r="L39" s="13"/>
      <c r="M39" s="13"/>
      <c r="N39" s="10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>
      <c r="A40" s="30" t="s">
        <v>31</v>
      </c>
      <c r="B40" s="87">
        <v>-30</v>
      </c>
      <c r="C40" s="87">
        <v>-107</v>
      </c>
      <c r="D40" s="32">
        <f>(48*60+37.1)/60</f>
        <v>48.61833333333333</v>
      </c>
      <c r="E40" s="32">
        <f>-(59*60+44.3)/60</f>
        <v>-59.73833333333334</v>
      </c>
      <c r="F40" s="32">
        <f>(167*60+56.3)/60</f>
        <v>167.93833333333333</v>
      </c>
      <c r="G40" s="31">
        <f>(255*60+48.2)/60</f>
        <v>255.80333333333334</v>
      </c>
      <c r="H40" s="61"/>
      <c r="I40" s="61"/>
      <c r="J40" s="33">
        <v>39545</v>
      </c>
      <c r="K40" s="34">
        <v>0.16666666666666666</v>
      </c>
      <c r="L40" s="13"/>
      <c r="M40" s="13"/>
      <c r="N40" s="10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>
      <c r="A41" s="30" t="s">
        <v>2</v>
      </c>
      <c r="B41" s="87"/>
      <c r="C41" s="87"/>
      <c r="D41" s="32">
        <f>(37*60+41.5)/60</f>
        <v>37.69166666666667</v>
      </c>
      <c r="E41" s="32">
        <f>(14*60+31.4)/60</f>
        <v>14.523333333333333</v>
      </c>
      <c r="F41" s="32">
        <f>(182*60+37.3)/60</f>
        <v>182.62166666666664</v>
      </c>
      <c r="G41" s="31">
        <f>(255*60+48.2)/60</f>
        <v>255.80333333333334</v>
      </c>
      <c r="H41" s="61"/>
      <c r="I41" s="61"/>
      <c r="J41" s="33">
        <v>39545</v>
      </c>
      <c r="K41" s="34">
        <v>0.16666666666666666</v>
      </c>
      <c r="L41" s="13"/>
      <c r="M41" s="13"/>
      <c r="N41" s="10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>
      <c r="A42" s="65"/>
      <c r="B42" s="66"/>
      <c r="C42" s="66"/>
      <c r="D42" s="67"/>
      <c r="E42" s="67"/>
      <c r="F42" s="67"/>
      <c r="G42" s="67"/>
      <c r="H42" s="67"/>
      <c r="I42" s="67"/>
      <c r="J42" s="67"/>
      <c r="K42" s="67"/>
      <c r="L42" s="13"/>
      <c r="M42" s="13"/>
      <c r="N42" s="10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>
      <c r="A43" s="30" t="s">
        <v>2</v>
      </c>
      <c r="B43" s="87">
        <f>(21*60+3)/60</f>
        <v>21.05</v>
      </c>
      <c r="C43" s="87">
        <f>-(17*60+15)/60</f>
        <v>-17.25</v>
      </c>
      <c r="D43" s="32">
        <f>(34*60+24.2)/60</f>
        <v>34.40333333333333</v>
      </c>
      <c r="E43" s="32">
        <f>(14*60+31.4)/60</f>
        <v>14.523333333333333</v>
      </c>
      <c r="F43" s="32">
        <f>(182*60+37.3)/60</f>
        <v>182.62166666666664</v>
      </c>
      <c r="G43" s="32">
        <f>(136*60+17.4)/60</f>
        <v>136.29</v>
      </c>
      <c r="H43" s="61">
        <v>16</v>
      </c>
      <c r="I43" s="61">
        <v>200</v>
      </c>
      <c r="J43" s="33">
        <v>39511</v>
      </c>
      <c r="K43" s="34">
        <v>0.9256944444444444</v>
      </c>
      <c r="L43" s="13"/>
      <c r="M43" s="13"/>
      <c r="N43" s="10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30" t="s">
        <v>4</v>
      </c>
      <c r="B44" s="87"/>
      <c r="C44" s="87"/>
      <c r="D44" s="32">
        <f>(40*60+28.1)/60</f>
        <v>40.468333333333334</v>
      </c>
      <c r="E44" s="32">
        <f>-(26*60+27.1)/60</f>
        <v>-26.451666666666664</v>
      </c>
      <c r="F44" s="32">
        <f>(112*60+31.1)/60</f>
        <v>112.51833333333335</v>
      </c>
      <c r="G44" s="32">
        <f>(245*60+35.3)/60</f>
        <v>245.5883333333333</v>
      </c>
      <c r="H44" s="61"/>
      <c r="I44" s="61"/>
      <c r="J44" s="33">
        <v>39512</v>
      </c>
      <c r="K44" s="34">
        <v>0.22847222222222222</v>
      </c>
      <c r="L44" s="13"/>
      <c r="M44" s="1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>
      <c r="A45" s="65"/>
      <c r="B45" s="66"/>
      <c r="C45" s="66"/>
      <c r="D45" s="67"/>
      <c r="E45" s="67"/>
      <c r="F45" s="67"/>
      <c r="G45" s="67"/>
      <c r="H45" s="67"/>
      <c r="I45" s="67"/>
      <c r="J45" s="67"/>
      <c r="K45" s="67"/>
      <c r="L45" s="13"/>
      <c r="M45" s="1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>
      <c r="A46" s="30" t="s">
        <v>28</v>
      </c>
      <c r="B46" s="87">
        <v>45</v>
      </c>
      <c r="C46" s="87">
        <v>-6</v>
      </c>
      <c r="D46" s="32">
        <f>90-64.5016667</f>
        <v>25.4983333</v>
      </c>
      <c r="E46" s="32">
        <f>(16*60+30.5)/60</f>
        <v>16.508333333333333</v>
      </c>
      <c r="F46" s="32">
        <f>(291*60+1.1)/60</f>
        <v>291.0183333333333</v>
      </c>
      <c r="G46" s="31">
        <f>(4*60+39.1)/60</f>
        <v>4.651666666666667</v>
      </c>
      <c r="H46" s="61"/>
      <c r="I46" s="61"/>
      <c r="J46" s="33">
        <v>36528</v>
      </c>
      <c r="K46" s="34">
        <v>0.7277777777777777</v>
      </c>
      <c r="L46" s="13"/>
      <c r="M46" s="1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>
      <c r="A47" s="30" t="s">
        <v>29</v>
      </c>
      <c r="B47" s="87"/>
      <c r="C47" s="87"/>
      <c r="D47" s="32">
        <f>90-34.395</f>
        <v>55.605</v>
      </c>
      <c r="E47" s="32">
        <f>(23*60+27.7)/60</f>
        <v>23.461666666666666</v>
      </c>
      <c r="F47" s="32">
        <f>(328*60+12.5)/60</f>
        <v>328.2083333333333</v>
      </c>
      <c r="G47" s="31">
        <f>(4*60+39.1)/60</f>
        <v>4.651666666666667</v>
      </c>
      <c r="H47" s="61"/>
      <c r="I47" s="61"/>
      <c r="J47" s="33">
        <v>36528</v>
      </c>
      <c r="K47" s="34">
        <v>0.7277777777777777</v>
      </c>
      <c r="L47" s="13"/>
      <c r="M47" s="1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11" ht="13.5" customHeight="1">
      <c r="A48" s="18"/>
      <c r="B48" s="60"/>
      <c r="C48" s="60"/>
      <c r="D48" s="17"/>
      <c r="E48" s="17"/>
      <c r="F48" s="17"/>
      <c r="G48" s="17"/>
      <c r="H48" s="17"/>
      <c r="I48" s="17"/>
      <c r="J48" s="17"/>
      <c r="K48" s="17"/>
    </row>
  </sheetData>
  <mergeCells count="62">
    <mergeCell ref="N36:N43"/>
    <mergeCell ref="N25:N33"/>
    <mergeCell ref="N2:N8"/>
    <mergeCell ref="N16:N22"/>
    <mergeCell ref="K27:K28"/>
    <mergeCell ref="A31:K31"/>
    <mergeCell ref="A32:A33"/>
    <mergeCell ref="B32:C32"/>
    <mergeCell ref="E32:G32"/>
    <mergeCell ref="J32:K32"/>
    <mergeCell ref="J6:K6"/>
    <mergeCell ref="B11:C11"/>
    <mergeCell ref="A1:A2"/>
    <mergeCell ref="B1:C1"/>
    <mergeCell ref="H1:I1"/>
    <mergeCell ref="E1:G1"/>
    <mergeCell ref="J1:K1"/>
    <mergeCell ref="B6:C6"/>
    <mergeCell ref="E6:H6"/>
    <mergeCell ref="B20:C20"/>
    <mergeCell ref="D11:E11"/>
    <mergeCell ref="F11:H11"/>
    <mergeCell ref="H15:J15"/>
    <mergeCell ref="J20:K20"/>
    <mergeCell ref="K15:L15"/>
    <mergeCell ref="B15:C15"/>
    <mergeCell ref="I11:J11"/>
    <mergeCell ref="H32:I32"/>
    <mergeCell ref="B43:B44"/>
    <mergeCell ref="C43:C44"/>
    <mergeCell ref="H43:H44"/>
    <mergeCell ref="I43:I44"/>
    <mergeCell ref="B40:B41"/>
    <mergeCell ref="C40:C41"/>
    <mergeCell ref="H40:H41"/>
    <mergeCell ref="I40:I41"/>
    <mergeCell ref="B37:B38"/>
    <mergeCell ref="C37:C38"/>
    <mergeCell ref="H37:H38"/>
    <mergeCell ref="I37:I38"/>
    <mergeCell ref="B34:B35"/>
    <mergeCell ref="C34:C35"/>
    <mergeCell ref="H34:H35"/>
    <mergeCell ref="I34:I35"/>
    <mergeCell ref="B3:B4"/>
    <mergeCell ref="C3:C4"/>
    <mergeCell ref="H3:H4"/>
    <mergeCell ref="I3:I4"/>
    <mergeCell ref="B46:B47"/>
    <mergeCell ref="C46:C47"/>
    <mergeCell ref="H46:H47"/>
    <mergeCell ref="I46:I47"/>
    <mergeCell ref="A28:H28"/>
    <mergeCell ref="D18:J18"/>
    <mergeCell ref="D9:K9"/>
    <mergeCell ref="D23:K23"/>
    <mergeCell ref="B25:E25"/>
    <mergeCell ref="I25:K25"/>
    <mergeCell ref="F25:H25"/>
    <mergeCell ref="D15:E15"/>
    <mergeCell ref="F15:G15"/>
    <mergeCell ref="E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Taberna del Puerto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MásBarco</dc:creator>
  <cp:keywords/>
  <dc:description/>
  <cp:lastModifiedBy>MasBarco</cp:lastModifiedBy>
  <dcterms:created xsi:type="dcterms:W3CDTF">2008-05-27T08:58:21Z</dcterms:created>
  <dcterms:modified xsi:type="dcterms:W3CDTF">2008-06-14T21:50:27Z</dcterms:modified>
  <cp:category/>
  <cp:version/>
  <cp:contentType/>
  <cp:contentStatus/>
</cp:coreProperties>
</file>